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15195" windowHeight="9210"/>
  </bookViews>
  <sheets>
    <sheet name="Equation" sheetId="1" r:id="rId1"/>
    <sheet name="Friction Chart (LPM)" sheetId="4" r:id="rId2"/>
    <sheet name="Pipe info" sheetId="2" r:id="rId3"/>
    <sheet name="Table" sheetId="3" r:id="rId4"/>
    <sheet name="Hunter" sheetId="7" r:id="rId5"/>
    <sheet name="Hunter's Curve" sheetId="9" r:id="rId6"/>
    <sheet name="Hunter's Curve (zoom)" sheetId="10" r:id="rId7"/>
    <sheet name="GUIDELINE" sheetId="8" r:id="rId8"/>
  </sheets>
  <definedNames>
    <definedName name="coeff_c">Equation!$D$20</definedName>
    <definedName name="PIPESIZE">'Pipe info'!$C$4:$D$35</definedName>
    <definedName name="_xlnm.Print_Area" localSheetId="7">GUIDELINE!$B$3:$K$54</definedName>
    <definedName name="roughness">Equation!$D$26</definedName>
    <definedName name="viscosity">Equation!$D$28</definedName>
  </definedNames>
  <calcPr calcId="125725"/>
</workbook>
</file>

<file path=xl/calcChain.xml><?xml version="1.0" encoding="utf-8"?>
<calcChain xmlns="http://schemas.openxmlformats.org/spreadsheetml/2006/main">
  <c r="K23" i="1"/>
  <c r="L23" s="1"/>
  <c r="E23" s="1"/>
  <c r="L46"/>
  <c r="L45"/>
  <c r="N45" s="1"/>
  <c r="L44"/>
  <c r="N44" s="1"/>
  <c r="L43"/>
  <c r="N43" s="1"/>
  <c r="L42"/>
  <c r="L41"/>
  <c r="L40"/>
  <c r="M40" s="1"/>
  <c r="L39"/>
  <c r="L38"/>
  <c r="N38" s="1"/>
  <c r="L37"/>
  <c r="M37" s="1"/>
  <c r="O37" s="1"/>
  <c r="L36"/>
  <c r="L35"/>
  <c r="N35" s="1"/>
  <c r="L34"/>
  <c r="M34" s="1"/>
  <c r="L33"/>
  <c r="N33" s="1"/>
  <c r="L32"/>
  <c r="L31"/>
  <c r="N31" s="1"/>
  <c r="K107" i="3"/>
  <c r="M107" s="1"/>
  <c r="K106"/>
  <c r="M106" s="1"/>
  <c r="K105"/>
  <c r="L105" s="1"/>
  <c r="N105" s="1"/>
  <c r="K103"/>
  <c r="M103" s="1"/>
  <c r="K102"/>
  <c r="L102" s="1"/>
  <c r="N102" s="1"/>
  <c r="K101"/>
  <c r="M101" s="1"/>
  <c r="K99"/>
  <c r="L99" s="1"/>
  <c r="N99" s="1"/>
  <c r="K98"/>
  <c r="M98" s="1"/>
  <c r="K96"/>
  <c r="M96" s="1"/>
  <c r="K95"/>
  <c r="M95" s="1"/>
  <c r="K93"/>
  <c r="L93" s="1"/>
  <c r="K92"/>
  <c r="M92" s="1"/>
  <c r="K90"/>
  <c r="L90" s="1"/>
  <c r="N90" s="1"/>
  <c r="K89"/>
  <c r="M89" s="1"/>
  <c r="K87"/>
  <c r="M87" s="1"/>
  <c r="K86"/>
  <c r="M86" s="1"/>
  <c r="K84"/>
  <c r="M84" s="1"/>
  <c r="K83"/>
  <c r="M83" s="1"/>
  <c r="K81"/>
  <c r="M81" s="1"/>
  <c r="K80"/>
  <c r="L80" s="1"/>
  <c r="N80" s="1"/>
  <c r="K76"/>
  <c r="M76" s="1"/>
  <c r="K75"/>
  <c r="L75" s="1"/>
  <c r="E75" s="1"/>
  <c r="K74"/>
  <c r="M74" s="1"/>
  <c r="K73"/>
  <c r="L73" s="1"/>
  <c r="N73" s="1"/>
  <c r="K72"/>
  <c r="M72" s="1"/>
  <c r="K71"/>
  <c r="L71" s="1"/>
  <c r="E71" s="1"/>
  <c r="K70"/>
  <c r="M70" s="1"/>
  <c r="K69"/>
  <c r="M69" s="1"/>
  <c r="K68"/>
  <c r="M68" s="1"/>
  <c r="K67"/>
  <c r="L67" s="1"/>
  <c r="E67" s="1"/>
  <c r="K66"/>
  <c r="L66" s="1"/>
  <c r="E66" s="1"/>
  <c r="K65"/>
  <c r="M65" s="1"/>
  <c r="K64"/>
  <c r="M64" s="1"/>
  <c r="K63"/>
  <c r="L63" s="1"/>
  <c r="E63" s="1"/>
  <c r="K62"/>
  <c r="M62" s="1"/>
  <c r="K61"/>
  <c r="M61" s="1"/>
  <c r="K60"/>
  <c r="M60" s="1"/>
  <c r="K59"/>
  <c r="L59" s="1"/>
  <c r="E59" s="1"/>
  <c r="K58"/>
  <c r="L58" s="1"/>
  <c r="E58" s="1"/>
  <c r="K57"/>
  <c r="L57" s="1"/>
  <c r="E57" s="1"/>
  <c r="K56"/>
  <c r="M56" s="1"/>
  <c r="K55"/>
  <c r="M55" s="1"/>
  <c r="K54"/>
  <c r="M54" s="1"/>
  <c r="K53"/>
  <c r="M53" s="1"/>
  <c r="K52"/>
  <c r="M52" s="1"/>
  <c r="K51"/>
  <c r="L51" s="1"/>
  <c r="E51" s="1"/>
  <c r="K50"/>
  <c r="L50" s="1"/>
  <c r="E50" s="1"/>
  <c r="K49"/>
  <c r="M49" s="1"/>
  <c r="K48"/>
  <c r="M48" s="1"/>
  <c r="K47"/>
  <c r="M47" s="1"/>
  <c r="K46"/>
  <c r="M46" s="1"/>
  <c r="K45"/>
  <c r="M45" s="1"/>
  <c r="K44"/>
  <c r="M44" s="1"/>
  <c r="K43"/>
  <c r="L43" s="1"/>
  <c r="E43" s="1"/>
  <c r="K42"/>
  <c r="M42" s="1"/>
  <c r="K41"/>
  <c r="M41" s="1"/>
  <c r="K40"/>
  <c r="M40" s="1"/>
  <c r="K39"/>
  <c r="M39" s="1"/>
  <c r="K38"/>
  <c r="K37"/>
  <c r="M37" s="1"/>
  <c r="K36"/>
  <c r="M36" s="1"/>
  <c r="K35"/>
  <c r="M35" s="1"/>
  <c r="K34"/>
  <c r="L34" s="1"/>
  <c r="E34" s="1"/>
  <c r="K33"/>
  <c r="L33" s="1"/>
  <c r="E33" s="1"/>
  <c r="K32"/>
  <c r="M32" s="1"/>
  <c r="K31"/>
  <c r="M31" s="1"/>
  <c r="K30"/>
  <c r="M30" s="1"/>
  <c r="K29"/>
  <c r="M29" s="1"/>
  <c r="K28"/>
  <c r="M28" s="1"/>
  <c r="K27"/>
  <c r="L27" s="1"/>
  <c r="E27" s="1"/>
  <c r="K26"/>
  <c r="M26" s="1"/>
  <c r="K25"/>
  <c r="L25" s="1"/>
  <c r="E25" s="1"/>
  <c r="K24"/>
  <c r="L24" s="1"/>
  <c r="K23"/>
  <c r="M23" s="1"/>
  <c r="K22"/>
  <c r="L22" s="1"/>
  <c r="K21"/>
  <c r="M21" s="1"/>
  <c r="K20"/>
  <c r="M20" s="1"/>
  <c r="K19"/>
  <c r="M19" s="1"/>
  <c r="K18"/>
  <c r="L18" s="1"/>
  <c r="E18" s="1"/>
  <c r="K17"/>
  <c r="L17" s="1"/>
  <c r="E17" s="1"/>
  <c r="K16"/>
  <c r="L16" s="1"/>
  <c r="K15"/>
  <c r="M15" s="1"/>
  <c r="K14"/>
  <c r="L14" s="1"/>
  <c r="K13"/>
  <c r="M13" s="1"/>
  <c r="K12"/>
  <c r="L12" s="1"/>
  <c r="E12" s="1"/>
  <c r="K11"/>
  <c r="L11" s="1"/>
  <c r="E11" s="1"/>
  <c r="K10"/>
  <c r="L10" s="1"/>
  <c r="E10" s="1"/>
  <c r="K9"/>
  <c r="M9" s="1"/>
  <c r="K46" i="1"/>
  <c r="K45"/>
  <c r="K44"/>
  <c r="K43"/>
  <c r="K42"/>
  <c r="K41"/>
  <c r="K40"/>
  <c r="K39"/>
  <c r="K38"/>
  <c r="K37"/>
  <c r="K36"/>
  <c r="K35"/>
  <c r="K34"/>
  <c r="K33"/>
  <c r="N32"/>
  <c r="K32"/>
  <c r="J76" i="3"/>
  <c r="J75"/>
  <c r="J74"/>
  <c r="J73"/>
  <c r="K31" i="1"/>
  <c r="G57" i="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D25" i="8"/>
  <c r="D24"/>
  <c r="D23"/>
  <c r="D22"/>
  <c r="D21"/>
  <c r="D20"/>
  <c r="D19"/>
  <c r="D18"/>
  <c r="D17"/>
  <c r="D16"/>
  <c r="D15"/>
  <c r="D14"/>
  <c r="D13"/>
  <c r="D12"/>
  <c r="D11"/>
  <c r="D10"/>
  <c r="B87" i="3"/>
  <c r="B103"/>
  <c r="B107"/>
  <c r="J107"/>
  <c r="J106"/>
  <c r="B86"/>
  <c r="B98"/>
  <c r="J98"/>
  <c r="B101"/>
  <c r="J103"/>
  <c r="B102"/>
  <c r="J102"/>
  <c r="B99"/>
  <c r="J99"/>
  <c r="B96"/>
  <c r="J96"/>
  <c r="B95"/>
  <c r="J95"/>
  <c r="B93"/>
  <c r="J93"/>
  <c r="B92"/>
  <c r="J92"/>
  <c r="B90"/>
  <c r="J90"/>
  <c r="B89"/>
  <c r="J89"/>
  <c r="J87"/>
  <c r="J86"/>
  <c r="B84"/>
  <c r="J84"/>
  <c r="B83"/>
  <c r="J83"/>
  <c r="J81"/>
  <c r="J80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U5" i="7"/>
  <c r="V5"/>
  <c r="Q5"/>
  <c r="P5"/>
  <c r="S5"/>
  <c r="R5"/>
  <c r="T5"/>
  <c r="N5"/>
  <c r="M5"/>
  <c r="L5"/>
  <c r="K5"/>
  <c r="L13" i="1"/>
  <c r="M12"/>
  <c r="M11"/>
  <c r="K12"/>
  <c r="K13"/>
  <c r="N11"/>
  <c r="N12"/>
  <c r="N13"/>
  <c r="L11"/>
  <c r="L14"/>
  <c r="D16"/>
  <c r="F15"/>
  <c r="E15"/>
  <c r="G14"/>
  <c r="G16"/>
  <c r="E14"/>
  <c r="G13"/>
  <c r="F13"/>
  <c r="D13"/>
  <c r="D15"/>
  <c r="C13"/>
  <c r="C15"/>
  <c r="F12"/>
  <c r="F11"/>
  <c r="C12"/>
  <c r="C16"/>
  <c r="E11"/>
  <c r="E12"/>
  <c r="E16"/>
  <c r="D11"/>
  <c r="G12"/>
  <c r="J23"/>
  <c r="D14"/>
  <c r="C14"/>
  <c r="O5" i="7"/>
  <c r="D5"/>
  <c r="F5"/>
  <c r="E5"/>
  <c r="G5"/>
  <c r="M33" i="1"/>
  <c r="O33" s="1"/>
  <c r="P33" s="1"/>
  <c r="G11"/>
  <c r="B105" i="3"/>
  <c r="J105"/>
  <c r="J101"/>
  <c r="F16" i="1"/>
  <c r="D13" i="2"/>
  <c r="M73" i="3" l="1"/>
  <c r="O73" s="1"/>
  <c r="P73" s="1"/>
  <c r="F73" s="1"/>
  <c r="G73" s="1"/>
  <c r="H73" s="1"/>
  <c r="M41" i="1"/>
  <c r="O41" s="1"/>
  <c r="L49" i="3"/>
  <c r="E49" s="1"/>
  <c r="M27"/>
  <c r="L41"/>
  <c r="E41" s="1"/>
  <c r="M18"/>
  <c r="N40" i="1"/>
  <c r="L87" i="3"/>
  <c r="E87" s="1"/>
  <c r="M90"/>
  <c r="L26"/>
  <c r="E26" s="1"/>
  <c r="L29"/>
  <c r="E29" s="1"/>
  <c r="L103"/>
  <c r="N103" s="1"/>
  <c r="M42" i="1"/>
  <c r="E42" s="1"/>
  <c r="L69" i="3"/>
  <c r="E69" s="1"/>
  <c r="M59"/>
  <c r="L76"/>
  <c r="N76" s="1"/>
  <c r="M58"/>
  <c r="L28"/>
  <c r="E28" s="1"/>
  <c r="M50"/>
  <c r="L19"/>
  <c r="E19" s="1"/>
  <c r="M17"/>
  <c r="M75"/>
  <c r="L53"/>
  <c r="E53" s="1"/>
  <c r="M12"/>
  <c r="M43"/>
  <c r="M34"/>
  <c r="M63"/>
  <c r="L47"/>
  <c r="E47" s="1"/>
  <c r="M11"/>
  <c r="N37" i="1"/>
  <c r="M33" i="3"/>
  <c r="L39"/>
  <c r="E39" s="1"/>
  <c r="L64"/>
  <c r="N64" s="1"/>
  <c r="O64" s="1"/>
  <c r="P64" s="1"/>
  <c r="F64" s="1"/>
  <c r="G64" s="1"/>
  <c r="H64" s="1"/>
  <c r="M10"/>
  <c r="M57"/>
  <c r="M71"/>
  <c r="M25"/>
  <c r="M67"/>
  <c r="M102"/>
  <c r="O102" s="1"/>
  <c r="P102" s="1"/>
  <c r="F102" s="1"/>
  <c r="G102" s="1"/>
  <c r="H102" s="1"/>
  <c r="L31"/>
  <c r="E31" s="1"/>
  <c r="L40"/>
  <c r="E40" s="1"/>
  <c r="M66"/>
  <c r="L15"/>
  <c r="E15" s="1"/>
  <c r="L32"/>
  <c r="E32" s="1"/>
  <c r="M44" i="1"/>
  <c r="E44" s="1"/>
  <c r="L23" i="3"/>
  <c r="E23" s="1"/>
  <c r="M51"/>
  <c r="M99"/>
  <c r="O99" s="1"/>
  <c r="P99" s="1"/>
  <c r="F99" s="1"/>
  <c r="G99" s="1"/>
  <c r="H99" s="1"/>
  <c r="L60"/>
  <c r="N60" s="1"/>
  <c r="O60" s="1"/>
  <c r="P60" s="1"/>
  <c r="F60" s="1"/>
  <c r="G60" s="1"/>
  <c r="H60" s="1"/>
  <c r="L52"/>
  <c r="N52" s="1"/>
  <c r="O52" s="1"/>
  <c r="P52" s="1"/>
  <c r="F52" s="1"/>
  <c r="G52" s="1"/>
  <c r="H52" s="1"/>
  <c r="L44"/>
  <c r="E44" s="1"/>
  <c r="L38"/>
  <c r="N38" s="1"/>
  <c r="L20"/>
  <c r="N20" s="1"/>
  <c r="O20" s="1"/>
  <c r="P20" s="1"/>
  <c r="F20" s="1"/>
  <c r="G20" s="1"/>
  <c r="H20" s="1"/>
  <c r="E16"/>
  <c r="N16"/>
  <c r="E22"/>
  <c r="N22"/>
  <c r="E93"/>
  <c r="N93"/>
  <c r="E34" i="1"/>
  <c r="O34"/>
  <c r="E24" i="3"/>
  <c r="N24"/>
  <c r="E14"/>
  <c r="N14"/>
  <c r="L92"/>
  <c r="N92" s="1"/>
  <c r="O92" s="1"/>
  <c r="P92" s="1"/>
  <c r="F92" s="1"/>
  <c r="G92" s="1"/>
  <c r="H92" s="1"/>
  <c r="N12"/>
  <c r="N11"/>
  <c r="N27"/>
  <c r="N43"/>
  <c r="N59"/>
  <c r="N67"/>
  <c r="L13"/>
  <c r="L54"/>
  <c r="L81"/>
  <c r="L30"/>
  <c r="L46"/>
  <c r="N10"/>
  <c r="N18"/>
  <c r="N34"/>
  <c r="N50"/>
  <c r="N58"/>
  <c r="N66"/>
  <c r="M16"/>
  <c r="M24"/>
  <c r="M36" i="1"/>
  <c r="E36" s="1"/>
  <c r="N51" i="3"/>
  <c r="L68"/>
  <c r="N68" s="1"/>
  <c r="O68" s="1"/>
  <c r="P68" s="1"/>
  <c r="F68" s="1"/>
  <c r="G68" s="1"/>
  <c r="H68" s="1"/>
  <c r="N17"/>
  <c r="N25"/>
  <c r="N33"/>
  <c r="N57"/>
  <c r="M39" i="1"/>
  <c r="O39" s="1"/>
  <c r="N75" i="3"/>
  <c r="L61"/>
  <c r="L21"/>
  <c r="M46" i="1"/>
  <c r="O46" s="1"/>
  <c r="M14" i="3"/>
  <c r="M22"/>
  <c r="M38"/>
  <c r="M93"/>
  <c r="M105"/>
  <c r="L37"/>
  <c r="N34" i="1"/>
  <c r="P34" s="1"/>
  <c r="N41"/>
  <c r="P41" s="1"/>
  <c r="N36"/>
  <c r="N63" i="3"/>
  <c r="N71"/>
  <c r="M80"/>
  <c r="F23" i="1"/>
  <c r="G23" s="1"/>
  <c r="H23" s="1"/>
  <c r="M38"/>
  <c r="O38" s="1"/>
  <c r="E33"/>
  <c r="N39"/>
  <c r="P39" s="1"/>
  <c r="N46"/>
  <c r="L42" i="3"/>
  <c r="L89"/>
  <c r="L9"/>
  <c r="N9" s="1"/>
  <c r="O40" i="1"/>
  <c r="E40"/>
  <c r="O42"/>
  <c r="M35"/>
  <c r="O35" s="1"/>
  <c r="L45" i="3"/>
  <c r="L62"/>
  <c r="L36"/>
  <c r="M45" i="1"/>
  <c r="L55" i="3"/>
  <c r="L65"/>
  <c r="L83"/>
  <c r="L35"/>
  <c r="N42" i="1"/>
  <c r="E37"/>
  <c r="L72" i="3"/>
  <c r="N72" s="1"/>
  <c r="L70"/>
  <c r="L107"/>
  <c r="M32" i="1"/>
  <c r="M43"/>
  <c r="E43" s="1"/>
  <c r="L84" i="3"/>
  <c r="R33" i="1"/>
  <c r="Q33" s="1"/>
  <c r="L48" i="3"/>
  <c r="L56"/>
  <c r="E105"/>
  <c r="E90"/>
  <c r="E99"/>
  <c r="E102"/>
  <c r="E80"/>
  <c r="L106"/>
  <c r="N106" s="1"/>
  <c r="L86"/>
  <c r="N86" s="1"/>
  <c r="L98"/>
  <c r="N98" s="1"/>
  <c r="L101"/>
  <c r="N101" s="1"/>
  <c r="L74"/>
  <c r="N74" s="1"/>
  <c r="E73"/>
  <c r="L96"/>
  <c r="N96" s="1"/>
  <c r="L95"/>
  <c r="N95" s="1"/>
  <c r="M31" i="1"/>
  <c r="P40" l="1"/>
  <c r="R40" s="1"/>
  <c r="Q40" s="1"/>
  <c r="F40" s="1"/>
  <c r="H40" s="1"/>
  <c r="I40" s="1"/>
  <c r="P42"/>
  <c r="R42" s="1"/>
  <c r="Q42" s="1"/>
  <c r="P46"/>
  <c r="R46" s="1"/>
  <c r="Q46" s="1"/>
  <c r="F46" s="1"/>
  <c r="H46" s="1"/>
  <c r="I46" s="1"/>
  <c r="R38"/>
  <c r="Q38" s="1"/>
  <c r="P38"/>
  <c r="P35"/>
  <c r="R35" s="1"/>
  <c r="P37"/>
  <c r="R37" s="1"/>
  <c r="Q37" s="1"/>
  <c r="F37" s="1"/>
  <c r="H37" s="1"/>
  <c r="I37" s="1"/>
  <c r="O11" i="3"/>
  <c r="P11" s="1"/>
  <c r="F11" s="1"/>
  <c r="G11" s="1"/>
  <c r="H11" s="1"/>
  <c r="O51"/>
  <c r="P51" s="1"/>
  <c r="F51" s="1"/>
  <c r="G51" s="1"/>
  <c r="H51" s="1"/>
  <c r="N53"/>
  <c r="O53" s="1"/>
  <c r="P53" s="1"/>
  <c r="F53" s="1"/>
  <c r="G53" s="1"/>
  <c r="H53" s="1"/>
  <c r="O10"/>
  <c r="P10" s="1"/>
  <c r="F10" s="1"/>
  <c r="G10" s="1"/>
  <c r="H10" s="1"/>
  <c r="O50"/>
  <c r="P50" s="1"/>
  <c r="F50" s="1"/>
  <c r="G50" s="1"/>
  <c r="H50" s="1"/>
  <c r="O33"/>
  <c r="P33" s="1"/>
  <c r="F33" s="1"/>
  <c r="G33" s="1"/>
  <c r="H33" s="1"/>
  <c r="O24"/>
  <c r="P24" s="1"/>
  <c r="F24" s="1"/>
  <c r="G24" s="1"/>
  <c r="H24" s="1"/>
  <c r="R41" i="1"/>
  <c r="Q41" s="1"/>
  <c r="F41" s="1"/>
  <c r="H41" s="1"/>
  <c r="I41" s="1"/>
  <c r="E41"/>
  <c r="N69" i="3"/>
  <c r="O69" s="1"/>
  <c r="P69" s="1"/>
  <c r="F69" s="1"/>
  <c r="G69" s="1"/>
  <c r="H69" s="1"/>
  <c r="O18"/>
  <c r="P18" s="1"/>
  <c r="F18" s="1"/>
  <c r="G18" s="1"/>
  <c r="H18" s="1"/>
  <c r="O59"/>
  <c r="P59" s="1"/>
  <c r="F59" s="1"/>
  <c r="G59" s="1"/>
  <c r="H59" s="1"/>
  <c r="O34"/>
  <c r="P34" s="1"/>
  <c r="F34" s="1"/>
  <c r="G34" s="1"/>
  <c r="H34" s="1"/>
  <c r="E103"/>
  <c r="E39" i="1"/>
  <c r="N28" i="3"/>
  <c r="O28" s="1"/>
  <c r="P28" s="1"/>
  <c r="F28" s="1"/>
  <c r="G28" s="1"/>
  <c r="H28" s="1"/>
  <c r="N87"/>
  <c r="O87" s="1"/>
  <c r="P87" s="1"/>
  <c r="F87" s="1"/>
  <c r="G87" s="1"/>
  <c r="H87" s="1"/>
  <c r="N41"/>
  <c r="O41" s="1"/>
  <c r="P41" s="1"/>
  <c r="F41" s="1"/>
  <c r="G41" s="1"/>
  <c r="H41" s="1"/>
  <c r="O27"/>
  <c r="P27" s="1"/>
  <c r="F27" s="1"/>
  <c r="G27" s="1"/>
  <c r="H27" s="1"/>
  <c r="E76"/>
  <c r="N49"/>
  <c r="O49" s="1"/>
  <c r="P49" s="1"/>
  <c r="F49" s="1"/>
  <c r="G49" s="1"/>
  <c r="H49" s="1"/>
  <c r="N15"/>
  <c r="O15" s="1"/>
  <c r="P15" s="1"/>
  <c r="F15" s="1"/>
  <c r="G15" s="1"/>
  <c r="H15" s="1"/>
  <c r="O57"/>
  <c r="P57" s="1"/>
  <c r="F57" s="1"/>
  <c r="G57" s="1"/>
  <c r="H57" s="1"/>
  <c r="N29"/>
  <c r="O29" s="1"/>
  <c r="P29" s="1"/>
  <c r="F29" s="1"/>
  <c r="G29" s="1"/>
  <c r="H29" s="1"/>
  <c r="N26"/>
  <c r="O26" s="1"/>
  <c r="P26" s="1"/>
  <c r="F26" s="1"/>
  <c r="G26" s="1"/>
  <c r="H26" s="1"/>
  <c r="O67"/>
  <c r="P67" s="1"/>
  <c r="F67" s="1"/>
  <c r="G67" s="1"/>
  <c r="H67" s="1"/>
  <c r="O12"/>
  <c r="P12" s="1"/>
  <c r="F12" s="1"/>
  <c r="G12" s="1"/>
  <c r="H12" s="1"/>
  <c r="O58"/>
  <c r="P58" s="1"/>
  <c r="F58" s="1"/>
  <c r="G58" s="1"/>
  <c r="H58" s="1"/>
  <c r="N47"/>
  <c r="O47" s="1"/>
  <c r="P47" s="1"/>
  <c r="F47" s="1"/>
  <c r="G47" s="1"/>
  <c r="H47" s="1"/>
  <c r="O75"/>
  <c r="P75" s="1"/>
  <c r="F75" s="1"/>
  <c r="G75" s="1"/>
  <c r="H75" s="1"/>
  <c r="O63"/>
  <c r="P63" s="1"/>
  <c r="F63" s="1"/>
  <c r="G63" s="1"/>
  <c r="H63" s="1"/>
  <c r="O17"/>
  <c r="P17" s="1"/>
  <c r="F17" s="1"/>
  <c r="G17" s="1"/>
  <c r="H17" s="1"/>
  <c r="O71"/>
  <c r="P71" s="1"/>
  <c r="F71" s="1"/>
  <c r="G71" s="1"/>
  <c r="H71" s="1"/>
  <c r="N19"/>
  <c r="O19" s="1"/>
  <c r="P19" s="1"/>
  <c r="F19" s="1"/>
  <c r="G19" s="1"/>
  <c r="H19" s="1"/>
  <c r="N32"/>
  <c r="O32" s="1"/>
  <c r="P32" s="1"/>
  <c r="F32" s="1"/>
  <c r="G32" s="1"/>
  <c r="H32" s="1"/>
  <c r="O14"/>
  <c r="P14" s="1"/>
  <c r="F14" s="1"/>
  <c r="G14" s="1"/>
  <c r="H14" s="1"/>
  <c r="O66"/>
  <c r="P66" s="1"/>
  <c r="F66" s="1"/>
  <c r="G66" s="1"/>
  <c r="H66" s="1"/>
  <c r="R34" i="1"/>
  <c r="Q34" s="1"/>
  <c r="F34" s="1"/>
  <c r="H34" s="1"/>
  <c r="I34" s="1"/>
  <c r="O43" i="3"/>
  <c r="P43" s="1"/>
  <c r="F43" s="1"/>
  <c r="G43" s="1"/>
  <c r="H43" s="1"/>
  <c r="E64"/>
  <c r="O22"/>
  <c r="P22" s="1"/>
  <c r="F22" s="1"/>
  <c r="G22" s="1"/>
  <c r="H22" s="1"/>
  <c r="O36" i="1"/>
  <c r="P36" s="1"/>
  <c r="N23" i="3"/>
  <c r="O23" s="1"/>
  <c r="P23" s="1"/>
  <c r="F23" s="1"/>
  <c r="G23" s="1"/>
  <c r="H23" s="1"/>
  <c r="O93"/>
  <c r="P93" s="1"/>
  <c r="F93" s="1"/>
  <c r="G93" s="1"/>
  <c r="H93" s="1"/>
  <c r="O25"/>
  <c r="P25" s="1"/>
  <c r="F25" s="1"/>
  <c r="G25" s="1"/>
  <c r="H25" s="1"/>
  <c r="N31"/>
  <c r="O31" s="1"/>
  <c r="P31" s="1"/>
  <c r="F31" s="1"/>
  <c r="G31" s="1"/>
  <c r="H31" s="1"/>
  <c r="E92"/>
  <c r="N39"/>
  <c r="O39" s="1"/>
  <c r="P39" s="1"/>
  <c r="F39" s="1"/>
  <c r="G39" s="1"/>
  <c r="H39" s="1"/>
  <c r="O16"/>
  <c r="P16" s="1"/>
  <c r="F16" s="1"/>
  <c r="G16" s="1"/>
  <c r="H16" s="1"/>
  <c r="O44" i="1"/>
  <c r="N40" i="3"/>
  <c r="O40" s="1"/>
  <c r="P40" s="1"/>
  <c r="F40" s="1"/>
  <c r="G40" s="1"/>
  <c r="H40" s="1"/>
  <c r="E60"/>
  <c r="E52"/>
  <c r="N44"/>
  <c r="O44" s="1"/>
  <c r="P44" s="1"/>
  <c r="F44" s="1"/>
  <c r="G44" s="1"/>
  <c r="H44" s="1"/>
  <c r="O38"/>
  <c r="P38" s="1"/>
  <c r="F38" s="1"/>
  <c r="G38" s="1"/>
  <c r="H38" s="1"/>
  <c r="E38"/>
  <c r="E20"/>
  <c r="E84"/>
  <c r="N84"/>
  <c r="O84" s="1"/>
  <c r="P84" s="1"/>
  <c r="F84" s="1"/>
  <c r="G84" s="1"/>
  <c r="H84" s="1"/>
  <c r="E45"/>
  <c r="N45"/>
  <c r="O45" s="1"/>
  <c r="P45" s="1"/>
  <c r="F45" s="1"/>
  <c r="G45" s="1"/>
  <c r="H45" s="1"/>
  <c r="E35"/>
  <c r="N35"/>
  <c r="O35" s="1"/>
  <c r="P35" s="1"/>
  <c r="F35" s="1"/>
  <c r="G35" s="1"/>
  <c r="H35" s="1"/>
  <c r="E62"/>
  <c r="N62"/>
  <c r="O62" s="1"/>
  <c r="P62" s="1"/>
  <c r="F62" s="1"/>
  <c r="G62" s="1"/>
  <c r="H62" s="1"/>
  <c r="E13"/>
  <c r="N13"/>
  <c r="O13" s="1"/>
  <c r="P13" s="1"/>
  <c r="F13" s="1"/>
  <c r="G13" s="1"/>
  <c r="H13" s="1"/>
  <c r="R39" i="1"/>
  <c r="Q39" s="1"/>
  <c r="F39" s="1"/>
  <c r="H39" s="1"/>
  <c r="I39" s="1"/>
  <c r="E46"/>
  <c r="E48" i="3"/>
  <c r="N48"/>
  <c r="O48" s="1"/>
  <c r="P48" s="1"/>
  <c r="F48" s="1"/>
  <c r="G48" s="1"/>
  <c r="H48" s="1"/>
  <c r="E65"/>
  <c r="N65"/>
  <c r="O65" s="1"/>
  <c r="P65" s="1"/>
  <c r="F65" s="1"/>
  <c r="G65" s="1"/>
  <c r="H65" s="1"/>
  <c r="E70"/>
  <c r="N70"/>
  <c r="O70" s="1"/>
  <c r="P70" s="1"/>
  <c r="F70" s="1"/>
  <c r="G70" s="1"/>
  <c r="H70" s="1"/>
  <c r="E36"/>
  <c r="N36"/>
  <c r="O36" s="1"/>
  <c r="P36" s="1"/>
  <c r="F36" s="1"/>
  <c r="G36" s="1"/>
  <c r="H36" s="1"/>
  <c r="E21"/>
  <c r="N21"/>
  <c r="O21" s="1"/>
  <c r="P21" s="1"/>
  <c r="F21" s="1"/>
  <c r="G21" s="1"/>
  <c r="H21" s="1"/>
  <c r="E46"/>
  <c r="N46"/>
  <c r="O46" s="1"/>
  <c r="P46" s="1"/>
  <c r="F46" s="1"/>
  <c r="G46" s="1"/>
  <c r="H46" s="1"/>
  <c r="E56"/>
  <c r="N56"/>
  <c r="O56" s="1"/>
  <c r="P56" s="1"/>
  <c r="F56" s="1"/>
  <c r="G56" s="1"/>
  <c r="H56" s="1"/>
  <c r="E83"/>
  <c r="N83"/>
  <c r="O83" s="1"/>
  <c r="P83" s="1"/>
  <c r="F83" s="1"/>
  <c r="G83" s="1"/>
  <c r="H83" s="1"/>
  <c r="E107"/>
  <c r="N107"/>
  <c r="O107" s="1"/>
  <c r="P107" s="1"/>
  <c r="F107" s="1"/>
  <c r="G107" s="1"/>
  <c r="H107" s="1"/>
  <c r="E89"/>
  <c r="N89"/>
  <c r="O89" s="1"/>
  <c r="P89" s="1"/>
  <c r="F89" s="1"/>
  <c r="G89" s="1"/>
  <c r="H89" s="1"/>
  <c r="E42"/>
  <c r="N42"/>
  <c r="O42" s="1"/>
  <c r="P42" s="1"/>
  <c r="F42" s="1"/>
  <c r="G42" s="1"/>
  <c r="H42" s="1"/>
  <c r="E37"/>
  <c r="N37"/>
  <c r="O37" s="1"/>
  <c r="P37" s="1"/>
  <c r="F37" s="1"/>
  <c r="G37" s="1"/>
  <c r="H37" s="1"/>
  <c r="E54"/>
  <c r="N54"/>
  <c r="O54" s="1"/>
  <c r="P54" s="1"/>
  <c r="F54" s="1"/>
  <c r="G54" s="1"/>
  <c r="H54" s="1"/>
  <c r="E55"/>
  <c r="N55"/>
  <c r="O55" s="1"/>
  <c r="P55" s="1"/>
  <c r="F55" s="1"/>
  <c r="G55" s="1"/>
  <c r="H55" s="1"/>
  <c r="E81"/>
  <c r="N81"/>
  <c r="O81" s="1"/>
  <c r="P81" s="1"/>
  <c r="F81" s="1"/>
  <c r="G81" s="1"/>
  <c r="H81" s="1"/>
  <c r="E61"/>
  <c r="N61"/>
  <c r="O61" s="1"/>
  <c r="P61" s="1"/>
  <c r="F61" s="1"/>
  <c r="G61" s="1"/>
  <c r="H61" s="1"/>
  <c r="E30"/>
  <c r="N30"/>
  <c r="O30" s="1"/>
  <c r="P30" s="1"/>
  <c r="F30" s="1"/>
  <c r="G30" s="1"/>
  <c r="H30" s="1"/>
  <c r="E68"/>
  <c r="E35" i="1"/>
  <c r="E38"/>
  <c r="O9" i="3"/>
  <c r="P9" s="1"/>
  <c r="F9" s="1"/>
  <c r="G9" s="1"/>
  <c r="H9" s="1"/>
  <c r="E9"/>
  <c r="O43" i="1"/>
  <c r="O32"/>
  <c r="E32"/>
  <c r="O72" i="3"/>
  <c r="P72" s="1"/>
  <c r="F72" s="1"/>
  <c r="G72" s="1"/>
  <c r="H72" s="1"/>
  <c r="E72"/>
  <c r="F38" i="1"/>
  <c r="H38" s="1"/>
  <c r="I38" s="1"/>
  <c r="F33"/>
  <c r="H33" s="1"/>
  <c r="I33" s="1"/>
  <c r="G33"/>
  <c r="E45"/>
  <c r="O45"/>
  <c r="E96" i="3"/>
  <c r="O96"/>
  <c r="P96" s="1"/>
  <c r="F96" s="1"/>
  <c r="G96" s="1"/>
  <c r="H96" s="1"/>
  <c r="O98"/>
  <c r="P98" s="1"/>
  <c r="F98" s="1"/>
  <c r="G98" s="1"/>
  <c r="H98" s="1"/>
  <c r="E98"/>
  <c r="O101"/>
  <c r="P101" s="1"/>
  <c r="F101" s="1"/>
  <c r="G101" s="1"/>
  <c r="H101" s="1"/>
  <c r="E101"/>
  <c r="O74"/>
  <c r="P74" s="1"/>
  <c r="F74" s="1"/>
  <c r="G74" s="1"/>
  <c r="H74" s="1"/>
  <c r="E74"/>
  <c r="E106"/>
  <c r="O106"/>
  <c r="P106" s="1"/>
  <c r="F106" s="1"/>
  <c r="G106" s="1"/>
  <c r="H106" s="1"/>
  <c r="O95"/>
  <c r="P95" s="1"/>
  <c r="F95" s="1"/>
  <c r="G95" s="1"/>
  <c r="H95" s="1"/>
  <c r="E95"/>
  <c r="O86"/>
  <c r="P86" s="1"/>
  <c r="F86" s="1"/>
  <c r="G86" s="1"/>
  <c r="H86" s="1"/>
  <c r="E86"/>
  <c r="O103"/>
  <c r="P103" s="1"/>
  <c r="F103" s="1"/>
  <c r="G103" s="1"/>
  <c r="H103" s="1"/>
  <c r="O105"/>
  <c r="P105" s="1"/>
  <c r="F105" s="1"/>
  <c r="G105" s="1"/>
  <c r="H105" s="1"/>
  <c r="O80"/>
  <c r="P80" s="1"/>
  <c r="F80" s="1"/>
  <c r="G80" s="1"/>
  <c r="H80" s="1"/>
  <c r="O76"/>
  <c r="P76" s="1"/>
  <c r="F76" s="1"/>
  <c r="G76" s="1"/>
  <c r="H76" s="1"/>
  <c r="O90"/>
  <c r="P90" s="1"/>
  <c r="F90" s="1"/>
  <c r="G90" s="1"/>
  <c r="H90" s="1"/>
  <c r="O31" i="1"/>
  <c r="E31"/>
  <c r="Q35" l="1"/>
  <c r="F35" s="1"/>
  <c r="H35" s="1"/>
  <c r="I35" s="1"/>
  <c r="G35"/>
  <c r="P31"/>
  <c r="R31" s="1"/>
  <c r="P32"/>
  <c r="R32" s="1"/>
  <c r="P45"/>
  <c r="R45" s="1"/>
  <c r="Q45" s="1"/>
  <c r="F45" s="1"/>
  <c r="H45" s="1"/>
  <c r="I45" s="1"/>
  <c r="P44"/>
  <c r="R44" s="1"/>
  <c r="R36"/>
  <c r="G36" s="1"/>
  <c r="P43"/>
  <c r="R43" s="1"/>
  <c r="G38"/>
  <c r="G37"/>
  <c r="G40"/>
  <c r="G34"/>
  <c r="G46"/>
  <c r="G41"/>
  <c r="G39"/>
  <c r="F42"/>
  <c r="H42" s="1"/>
  <c r="I42" s="1"/>
  <c r="G42"/>
  <c r="Q43" l="1"/>
  <c r="F43" s="1"/>
  <c r="H43" s="1"/>
  <c r="I43" s="1"/>
  <c r="G43"/>
  <c r="Q44"/>
  <c r="F44" s="1"/>
  <c r="H44" s="1"/>
  <c r="I44" s="1"/>
  <c r="G44"/>
  <c r="Q36"/>
  <c r="F36" s="1"/>
  <c r="H36" s="1"/>
  <c r="I36" s="1"/>
  <c r="Q31"/>
  <c r="F31" s="1"/>
  <c r="H31" s="1"/>
  <c r="I31"/>
  <c r="G31"/>
  <c r="Q32"/>
  <c r="F32" s="1"/>
  <c r="H32" s="1"/>
  <c r="I32" s="1"/>
  <c r="G32"/>
  <c r="G45"/>
</calcChain>
</file>

<file path=xl/sharedStrings.xml><?xml version="1.0" encoding="utf-8"?>
<sst xmlns="http://schemas.openxmlformats.org/spreadsheetml/2006/main" count="176" uniqueCount="97">
  <si>
    <t>Coefficient, C</t>
  </si>
  <si>
    <t>(80-150)</t>
  </si>
  <si>
    <t>Flow</t>
  </si>
  <si>
    <t>Diameter</t>
  </si>
  <si>
    <t>(Inches)</t>
  </si>
  <si>
    <t>Velocity</t>
  </si>
  <si>
    <t>(m/s)</t>
  </si>
  <si>
    <t>(m/100m)</t>
  </si>
  <si>
    <t>Length</t>
  </si>
  <si>
    <t>(m)</t>
  </si>
  <si>
    <t>(Bars)</t>
  </si>
  <si>
    <t>Nominal Dia.</t>
  </si>
  <si>
    <t>I.D.</t>
  </si>
  <si>
    <t>Sch40</t>
  </si>
  <si>
    <t>Darcy-Weisbach Equation</t>
  </si>
  <si>
    <t>Roughness, e</t>
  </si>
  <si>
    <t>mm</t>
  </si>
  <si>
    <t>FLOW</t>
  </si>
  <si>
    <t>Pipe friction loss calculation</t>
  </si>
  <si>
    <t>(CU.m./s)</t>
  </si>
  <si>
    <t>Dia.</t>
  </si>
  <si>
    <t>Re</t>
  </si>
  <si>
    <t>e/D</t>
  </si>
  <si>
    <t>f</t>
  </si>
  <si>
    <t>P-drop</t>
  </si>
  <si>
    <t>Material</t>
  </si>
  <si>
    <t>e</t>
  </si>
  <si>
    <t>C</t>
  </si>
  <si>
    <t>Recommended Value for C and e</t>
  </si>
  <si>
    <t>Drawn tube</t>
  </si>
  <si>
    <t>Cast iron Pipe</t>
  </si>
  <si>
    <t>Concrete</t>
  </si>
  <si>
    <t>Commercial steel pipe</t>
  </si>
  <si>
    <t>0.3 to 3</t>
  </si>
  <si>
    <t>Smooth</t>
  </si>
  <si>
    <t>Rough</t>
  </si>
  <si>
    <t>Kinematic viscosity</t>
  </si>
  <si>
    <t>m2/s</t>
  </si>
  <si>
    <t>(Water at 30C)</t>
  </si>
  <si>
    <t>Viscosity information</t>
  </si>
  <si>
    <t>Fluid</t>
  </si>
  <si>
    <t>Air</t>
  </si>
  <si>
    <t>Calculation</t>
  </si>
  <si>
    <t>Unit converter</t>
  </si>
  <si>
    <t>GPM</t>
  </si>
  <si>
    <t>LPM</t>
  </si>
  <si>
    <t>CFM</t>
  </si>
  <si>
    <t>Bar</t>
  </si>
  <si>
    <t>M.WG.</t>
  </si>
  <si>
    <t>Ft.WG.</t>
  </si>
  <si>
    <t>Psi</t>
  </si>
  <si>
    <t>M3/h</t>
  </si>
  <si>
    <t>M3/s</t>
  </si>
  <si>
    <t>M3/min</t>
  </si>
  <si>
    <t>FU</t>
  </si>
  <si>
    <t>FLUSH TANK</t>
  </si>
  <si>
    <t>FLUSH VALVE</t>
  </si>
  <si>
    <t>shift GPM</t>
  </si>
  <si>
    <t>fu-0</t>
  </si>
  <si>
    <t>fu-1</t>
  </si>
  <si>
    <t>gpm-0</t>
  </si>
  <si>
    <t>gpm-1</t>
  </si>
  <si>
    <t>gpm ft</t>
  </si>
  <si>
    <t>gpm fv</t>
  </si>
  <si>
    <t>gpm1</t>
  </si>
  <si>
    <t>gpm2</t>
  </si>
  <si>
    <t>Sch40 steel pipe</t>
  </si>
  <si>
    <t>Flush Tank</t>
  </si>
  <si>
    <t>Flush Valve</t>
  </si>
  <si>
    <t>Fixture Units*</t>
  </si>
  <si>
    <t>(water at 30C)</t>
  </si>
  <si>
    <t>Recommended pipe size for general plumbing applications.</t>
  </si>
  <si>
    <t>*For main pipe sizing only. Use table in ME418 lecture04 to size the pipes inside the toilet</t>
  </si>
  <si>
    <t>(LPM)</t>
  </si>
  <si>
    <t>DN</t>
  </si>
  <si>
    <t>(mm)</t>
  </si>
  <si>
    <t>IPS</t>
  </si>
  <si>
    <t>System</t>
  </si>
  <si>
    <t>(BAR/100m)</t>
  </si>
  <si>
    <t>Density</t>
  </si>
  <si>
    <t>kg/m3</t>
  </si>
  <si>
    <t>Absolute Viscosity</t>
  </si>
  <si>
    <t>Pa-s</t>
  </si>
  <si>
    <t>P-drop/ 100m</t>
  </si>
  <si>
    <t>P-drop Total</t>
  </si>
  <si>
    <t>(Bars/100m)</t>
  </si>
  <si>
    <t>Fluid:</t>
  </si>
  <si>
    <t>น้ำ</t>
  </si>
  <si>
    <t>Viscosity</t>
  </si>
  <si>
    <t>Hazen-Williams Equation (for Water only)</t>
  </si>
  <si>
    <t>Pipe roughness</t>
  </si>
  <si>
    <t>(m.WG.)</t>
  </si>
  <si>
    <t>(m.Fluid)</t>
  </si>
  <si>
    <t>Viscosity (Pa-s)</t>
  </si>
  <si>
    <t>Density(kg/m3)</t>
  </si>
  <si>
    <t>Water@30C</t>
  </si>
  <si>
    <t>(m.WG./100m)</t>
  </si>
</sst>
</file>

<file path=xl/styles.xml><?xml version="1.0" encoding="utf-8"?>
<styleSheet xmlns="http://schemas.openxmlformats.org/spreadsheetml/2006/main">
  <numFmts count="7">
    <numFmt numFmtId="187" formatCode="_(* #,##0.00_);_(* \(#,##0.00\);_(* &quot;-&quot;??_);_(@_)"/>
    <numFmt numFmtId="188" formatCode="0.0"/>
    <numFmt numFmtId="189" formatCode="0.000"/>
    <numFmt numFmtId="190" formatCode="_(* #,##0.0_);_(* \(#,##0.0\);_(* &quot;-&quot;??_);_(@_)"/>
    <numFmt numFmtId="191" formatCode="_(* #,##0_);_(* \(#,##0\);_(* &quot;-&quot;??_);_(@_)"/>
    <numFmt numFmtId="192" formatCode="0.00000"/>
    <numFmt numFmtId="193" formatCode="0.0000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/>
    <xf numFmtId="189" fontId="0" fillId="0" borderId="1" xfId="0" applyNumberFormat="1" applyBorder="1"/>
    <xf numFmtId="2" fontId="0" fillId="0" borderId="1" xfId="0" applyNumberFormat="1" applyBorder="1"/>
    <xf numFmtId="0" fontId="0" fillId="3" borderId="1" xfId="0" applyFill="1" applyBorder="1"/>
    <xf numFmtId="0" fontId="3" fillId="0" borderId="0" xfId="0" applyFont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91" fontId="0" fillId="0" borderId="1" xfId="1" applyNumberFormat="1" applyFont="1" applyBorder="1"/>
    <xf numFmtId="0" fontId="0" fillId="2" borderId="1" xfId="0" applyFill="1" applyBorder="1"/>
    <xf numFmtId="0" fontId="0" fillId="2" borderId="0" xfId="0" applyFill="1"/>
    <xf numFmtId="11" fontId="0" fillId="2" borderId="0" xfId="0" applyNumberFormat="1" applyFill="1"/>
    <xf numFmtId="189" fontId="0" fillId="2" borderId="1" xfId="0" applyNumberFormat="1" applyFill="1" applyBorder="1"/>
    <xf numFmtId="2" fontId="0" fillId="2" borderId="1" xfId="0" applyNumberFormat="1" applyFill="1" applyBorder="1"/>
    <xf numFmtId="191" fontId="0" fillId="2" borderId="1" xfId="1" applyNumberFormat="1" applyFont="1" applyFill="1" applyBorder="1"/>
    <xf numFmtId="0" fontId="0" fillId="5" borderId="1" xfId="0" applyFill="1" applyBorder="1"/>
    <xf numFmtId="189" fontId="0" fillId="5" borderId="1" xfId="0" applyNumberFormat="1" applyFill="1" applyBorder="1"/>
    <xf numFmtId="2" fontId="0" fillId="5" borderId="1" xfId="0" applyNumberFormat="1" applyFill="1" applyBorder="1"/>
    <xf numFmtId="0" fontId="0" fillId="5" borderId="0" xfId="0" applyFill="1"/>
    <xf numFmtId="191" fontId="0" fillId="5" borderId="1" xfId="1" applyNumberFormat="1" applyFont="1" applyFill="1" applyBorder="1"/>
    <xf numFmtId="0" fontId="0" fillId="0" borderId="1" xfId="0" applyFill="1" applyBorder="1"/>
    <xf numFmtId="11" fontId="0" fillId="0" borderId="0" xfId="0" applyNumberFormat="1"/>
    <xf numFmtId="0" fontId="0" fillId="0" borderId="7" xfId="0" applyBorder="1"/>
    <xf numFmtId="0" fontId="0" fillId="0" borderId="8" xfId="0" applyBorder="1"/>
    <xf numFmtId="0" fontId="0" fillId="0" borderId="1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6" xfId="0" applyBorder="1"/>
    <xf numFmtId="0" fontId="0" fillId="0" borderId="18" xfId="0" applyBorder="1"/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2" borderId="26" xfId="0" applyFill="1" applyBorder="1"/>
    <xf numFmtId="189" fontId="0" fillId="0" borderId="26" xfId="0" applyNumberFormat="1" applyBorder="1"/>
    <xf numFmtId="2" fontId="0" fillId="0" borderId="26" xfId="0" applyNumberFormat="1" applyBorder="1"/>
    <xf numFmtId="2" fontId="0" fillId="0" borderId="27" xfId="0" applyNumberFormat="1" applyBorder="1"/>
    <xf numFmtId="2" fontId="0" fillId="0" borderId="10" xfId="0" applyNumberFormat="1" applyBorder="1"/>
    <xf numFmtId="0" fontId="0" fillId="2" borderId="28" xfId="0" applyFill="1" applyBorder="1"/>
    <xf numFmtId="0" fontId="0" fillId="2" borderId="14" xfId="0" applyFill="1" applyBorder="1"/>
    <xf numFmtId="189" fontId="0" fillId="0" borderId="14" xfId="0" applyNumberFormat="1" applyBorder="1"/>
    <xf numFmtId="2" fontId="0" fillId="0" borderId="14" xfId="0" applyNumberFormat="1" applyBorder="1"/>
    <xf numFmtId="2" fontId="0" fillId="0" borderId="15" xfId="0" applyNumberFormat="1" applyBorder="1"/>
    <xf numFmtId="0" fontId="0" fillId="3" borderId="15" xfId="0" applyFill="1" applyBorder="1" applyAlignment="1">
      <alignment horizontal="center"/>
    </xf>
    <xf numFmtId="0" fontId="0" fillId="2" borderId="29" xfId="0" applyFill="1" applyBorder="1"/>
    <xf numFmtId="189" fontId="0" fillId="0" borderId="29" xfId="0" applyNumberFormat="1" applyBorder="1"/>
    <xf numFmtId="2" fontId="0" fillId="0" borderId="29" xfId="0" applyNumberFormat="1" applyBorder="1"/>
    <xf numFmtId="2" fontId="0" fillId="0" borderId="30" xfId="0" applyNumberFormat="1" applyBorder="1"/>
    <xf numFmtId="0" fontId="0" fillId="6" borderId="31" xfId="0" applyFill="1" applyBorder="1"/>
    <xf numFmtId="0" fontId="0" fillId="6" borderId="32" xfId="0" applyFill="1" applyBorder="1"/>
    <xf numFmtId="0" fontId="0" fillId="6" borderId="29" xfId="0" applyFill="1" applyBorder="1" applyAlignment="1">
      <alignment horizontal="center"/>
    </xf>
    <xf numFmtId="0" fontId="0" fillId="6" borderId="30" xfId="0" applyFill="1" applyBorder="1"/>
    <xf numFmtId="0" fontId="4" fillId="0" borderId="0" xfId="0" applyFont="1"/>
    <xf numFmtId="11" fontId="0" fillId="0" borderId="33" xfId="0" applyNumberFormat="1" applyBorder="1"/>
    <xf numFmtId="0" fontId="0" fillId="0" borderId="33" xfId="0" applyBorder="1"/>
    <xf numFmtId="0" fontId="4" fillId="0" borderId="34" xfId="0" applyFont="1" applyBorder="1"/>
    <xf numFmtId="0" fontId="0" fillId="0" borderId="35" xfId="0" applyBorder="1"/>
    <xf numFmtId="0" fontId="0" fillId="0" borderId="34" xfId="0" applyBorder="1"/>
    <xf numFmtId="0" fontId="0" fillId="0" borderId="28" xfId="0" applyBorder="1"/>
    <xf numFmtId="0" fontId="0" fillId="0" borderId="36" xfId="0" applyBorder="1"/>
    <xf numFmtId="0" fontId="0" fillId="0" borderId="37" xfId="0" applyBorder="1"/>
    <xf numFmtId="0" fontId="4" fillId="0" borderId="38" xfId="0" applyFont="1" applyBorder="1"/>
    <xf numFmtId="11" fontId="0" fillId="0" borderId="39" xfId="0" applyNumberFormat="1" applyBorder="1"/>
    <xf numFmtId="0" fontId="0" fillId="0" borderId="40" xfId="0" applyBorder="1"/>
    <xf numFmtId="0" fontId="4" fillId="7" borderId="41" xfId="0" applyFont="1" applyFill="1" applyBorder="1"/>
    <xf numFmtId="0" fontId="4" fillId="7" borderId="42" xfId="0" applyFont="1" applyFill="1" applyBorder="1"/>
    <xf numFmtId="0" fontId="0" fillId="7" borderId="32" xfId="0" applyFill="1" applyBorder="1"/>
    <xf numFmtId="0" fontId="0" fillId="7" borderId="43" xfId="0" applyFill="1" applyBorder="1"/>
    <xf numFmtId="2" fontId="0" fillId="0" borderId="1" xfId="0" applyNumberFormat="1" applyBorder="1" applyAlignment="1">
      <alignment horizontal="center"/>
    </xf>
    <xf numFmtId="188" fontId="0" fillId="0" borderId="1" xfId="0" applyNumberFormat="1" applyBorder="1" applyAlignment="1">
      <alignment horizontal="center"/>
    </xf>
    <xf numFmtId="0" fontId="0" fillId="8" borderId="44" xfId="0" applyFill="1" applyBorder="1" applyAlignment="1">
      <alignment horizontal="center"/>
    </xf>
    <xf numFmtId="192" fontId="0" fillId="0" borderId="14" xfId="0" applyNumberFormat="1" applyBorder="1" applyAlignment="1">
      <alignment horizontal="center"/>
    </xf>
    <xf numFmtId="193" fontId="0" fillId="0" borderId="14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11" fontId="0" fillId="0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" fontId="0" fillId="2" borderId="41" xfId="0" applyNumberFormat="1" applyFill="1" applyBorder="1"/>
    <xf numFmtId="188" fontId="0" fillId="0" borderId="1" xfId="0" applyNumberFormat="1" applyFill="1" applyBorder="1" applyAlignment="1">
      <alignment horizontal="center"/>
    </xf>
    <xf numFmtId="0" fontId="0" fillId="0" borderId="15" xfId="0" applyFill="1" applyBorder="1"/>
    <xf numFmtId="1" fontId="0" fillId="2" borderId="1" xfId="0" applyNumberFormat="1" applyFill="1" applyBorder="1" applyAlignment="1">
      <alignment horizontal="center"/>
    </xf>
    <xf numFmtId="193" fontId="0" fillId="0" borderId="1" xfId="0" applyNumberFormat="1" applyFill="1" applyBorder="1" applyAlignment="1">
      <alignment horizontal="center"/>
    </xf>
    <xf numFmtId="189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1" fontId="0" fillId="0" borderId="0" xfId="0" applyNumberFormat="1" applyFill="1" applyBorder="1" applyAlignment="1">
      <alignment horizontal="center"/>
    </xf>
    <xf numFmtId="0" fontId="0" fillId="0" borderId="0" xfId="0" applyFill="1" applyBorder="1"/>
    <xf numFmtId="0" fontId="0" fillId="2" borderId="26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8" borderId="34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8" borderId="28" xfId="0" applyFill="1" applyBorder="1"/>
    <xf numFmtId="0" fontId="0" fillId="0" borderId="14" xfId="0" applyFill="1" applyBorder="1"/>
    <xf numFmtId="189" fontId="0" fillId="0" borderId="0" xfId="0" applyNumberFormat="1" applyFill="1" applyBorder="1" applyAlignment="1">
      <alignment horizontal="center"/>
    </xf>
    <xf numFmtId="188" fontId="0" fillId="0" borderId="0" xfId="0" applyNumberFormat="1" applyFill="1" applyBorder="1" applyAlignment="1">
      <alignment horizontal="center"/>
    </xf>
    <xf numFmtId="189" fontId="0" fillId="0" borderId="26" xfId="0" applyNumberFormat="1" applyFill="1" applyBorder="1" applyAlignment="1">
      <alignment horizontal="center"/>
    </xf>
    <xf numFmtId="189" fontId="0" fillId="0" borderId="27" xfId="0" applyNumberFormat="1" applyFill="1" applyBorder="1" applyAlignment="1">
      <alignment horizontal="center"/>
    </xf>
    <xf numFmtId="188" fontId="0" fillId="0" borderId="10" xfId="0" applyNumberFormat="1" applyBorder="1" applyAlignment="1">
      <alignment horizontal="center"/>
    </xf>
    <xf numFmtId="188" fontId="0" fillId="0" borderId="10" xfId="0" applyNumberFormat="1" applyFill="1" applyBorder="1" applyAlignment="1">
      <alignment horizontal="center"/>
    </xf>
    <xf numFmtId="0" fontId="4" fillId="8" borderId="34" xfId="0" applyFont="1" applyFill="1" applyBorder="1" applyAlignment="1">
      <alignment horizontal="center"/>
    </xf>
    <xf numFmtId="192" fontId="0" fillId="0" borderId="0" xfId="0" applyNumberFormat="1" applyFill="1" applyBorder="1" applyAlignment="1">
      <alignment horizontal="center"/>
    </xf>
    <xf numFmtId="193" fontId="0" fillId="0" borderId="0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88" fontId="0" fillId="0" borderId="26" xfId="0" applyNumberFormat="1" applyBorder="1" applyAlignment="1">
      <alignment horizontal="center"/>
    </xf>
    <xf numFmtId="0" fontId="0" fillId="8" borderId="28" xfId="0" applyFill="1" applyBorder="1" applyAlignment="1">
      <alignment horizontal="center"/>
    </xf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0" fillId="9" borderId="1" xfId="0" applyFill="1" applyBorder="1"/>
    <xf numFmtId="0" fontId="0" fillId="0" borderId="0" xfId="0" applyAlignment="1">
      <alignment horizontal="center"/>
    </xf>
    <xf numFmtId="0" fontId="0" fillId="0" borderId="3" xfId="0" applyBorder="1"/>
    <xf numFmtId="0" fontId="0" fillId="8" borderId="1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2" fontId="0" fillId="10" borderId="0" xfId="0" applyNumberFormat="1" applyFill="1" applyAlignment="1">
      <alignment horizontal="center"/>
    </xf>
    <xf numFmtId="0" fontId="0" fillId="2" borderId="3" xfId="0" applyFill="1" applyBorder="1"/>
    <xf numFmtId="0" fontId="0" fillId="2" borderId="2" xfId="0" applyFill="1" applyBorder="1" applyAlignment="1">
      <alignment horizontal="center"/>
    </xf>
    <xf numFmtId="0" fontId="0" fillId="3" borderId="2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2" borderId="45" xfId="0" applyFont="1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4" fillId="7" borderId="46" xfId="0" applyFont="1" applyFill="1" applyBorder="1" applyAlignment="1">
      <alignment horizontal="center" vertical="center"/>
    </xf>
    <xf numFmtId="0" fontId="0" fillId="0" borderId="0" xfId="0" applyFill="1"/>
    <xf numFmtId="11" fontId="0" fillId="0" borderId="0" xfId="0" applyNumberFormat="1" applyFill="1"/>
    <xf numFmtId="1" fontId="0" fillId="0" borderId="22" xfId="0" applyNumberFormat="1" applyBorder="1"/>
    <xf numFmtId="0" fontId="0" fillId="2" borderId="33" xfId="0" applyFill="1" applyBorder="1"/>
    <xf numFmtId="1" fontId="0" fillId="0" borderId="36" xfId="0" applyNumberFormat="1" applyBorder="1"/>
    <xf numFmtId="0" fontId="0" fillId="11" borderId="47" xfId="0" applyFill="1" applyBorder="1"/>
    <xf numFmtId="0" fontId="0" fillId="11" borderId="48" xfId="0" applyFill="1" applyBorder="1"/>
    <xf numFmtId="0" fontId="0" fillId="11" borderId="49" xfId="0" applyFill="1" applyBorder="1"/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0" xfId="0" applyBorder="1"/>
    <xf numFmtId="0" fontId="0" fillId="0" borderId="51" xfId="0" applyBorder="1"/>
    <xf numFmtId="0" fontId="0" fillId="0" borderId="39" xfId="0" applyBorder="1"/>
    <xf numFmtId="0" fontId="0" fillId="0" borderId="52" xfId="0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1" fontId="0" fillId="2" borderId="44" xfId="0" applyNumberFormat="1" applyFill="1" applyBorder="1"/>
    <xf numFmtId="1" fontId="0" fillId="2" borderId="34" xfId="0" applyNumberFormat="1" applyFill="1" applyBorder="1"/>
    <xf numFmtId="0" fontId="0" fillId="12" borderId="34" xfId="0" applyFill="1" applyBorder="1" applyAlignment="1">
      <alignment vertical="center"/>
    </xf>
    <xf numFmtId="0" fontId="0" fillId="12" borderId="1" xfId="0" applyFill="1" applyBorder="1" applyAlignment="1">
      <alignment horizontal="center" vertical="center"/>
    </xf>
    <xf numFmtId="189" fontId="0" fillId="12" borderId="1" xfId="0" applyNumberFormat="1" applyFill="1" applyBorder="1" applyAlignment="1">
      <alignment horizontal="center" vertical="center"/>
    </xf>
    <xf numFmtId="0" fontId="0" fillId="12" borderId="35" xfId="0" applyFill="1" applyBorder="1" applyAlignment="1">
      <alignment horizontal="center" vertical="center"/>
    </xf>
    <xf numFmtId="0" fontId="0" fillId="12" borderId="35" xfId="0" applyFill="1" applyBorder="1" applyAlignment="1">
      <alignment vertical="center"/>
    </xf>
    <xf numFmtId="0" fontId="0" fillId="12" borderId="28" xfId="0" applyFill="1" applyBorder="1" applyAlignment="1">
      <alignment vertical="center"/>
    </xf>
    <xf numFmtId="0" fontId="0" fillId="12" borderId="14" xfId="0" applyFill="1" applyBorder="1" applyAlignment="1">
      <alignment horizontal="center" vertical="center"/>
    </xf>
    <xf numFmtId="189" fontId="0" fillId="12" borderId="14" xfId="0" applyNumberFormat="1" applyFill="1" applyBorder="1" applyAlignment="1">
      <alignment horizontal="center" vertical="center"/>
    </xf>
    <xf numFmtId="0" fontId="0" fillId="12" borderId="37" xfId="0" applyFill="1" applyBorder="1" applyAlignment="1">
      <alignment vertical="center"/>
    </xf>
    <xf numFmtId="191" fontId="0" fillId="12" borderId="34" xfId="1" applyNumberFormat="1" applyFont="1" applyFill="1" applyBorder="1" applyAlignment="1">
      <alignment vertical="center"/>
    </xf>
    <xf numFmtId="191" fontId="0" fillId="12" borderId="8" xfId="1" applyNumberFormat="1" applyFont="1" applyFill="1" applyBorder="1" applyAlignment="1">
      <alignment vertical="center"/>
    </xf>
    <xf numFmtId="191" fontId="0" fillId="12" borderId="28" xfId="1" applyNumberFormat="1" applyFont="1" applyFill="1" applyBorder="1" applyAlignment="1">
      <alignment vertical="center"/>
    </xf>
    <xf numFmtId="191" fontId="0" fillId="12" borderId="13" xfId="1" applyNumberFormat="1" applyFont="1" applyFill="1" applyBorder="1" applyAlignment="1">
      <alignment vertical="center"/>
    </xf>
    <xf numFmtId="191" fontId="0" fillId="0" borderId="44" xfId="1" applyNumberFormat="1" applyFont="1" applyFill="1" applyBorder="1" applyAlignment="1">
      <alignment vertical="center"/>
    </xf>
    <xf numFmtId="191" fontId="0" fillId="0" borderId="23" xfId="1" applyNumberFormat="1" applyFont="1" applyFill="1" applyBorder="1" applyAlignment="1">
      <alignment vertical="center"/>
    </xf>
    <xf numFmtId="0" fontId="0" fillId="0" borderId="26" xfId="0" applyFill="1" applyBorder="1" applyAlignment="1">
      <alignment horizontal="center" vertical="center"/>
    </xf>
    <xf numFmtId="189" fontId="0" fillId="0" borderId="26" xfId="0" applyNumberFormat="1" applyFill="1" applyBorder="1" applyAlignment="1">
      <alignment horizontal="center" vertical="center"/>
    </xf>
    <xf numFmtId="0" fontId="0" fillId="0" borderId="24" xfId="0" applyNumberFormat="1" applyFill="1" applyBorder="1" applyAlignment="1">
      <alignment horizontal="center" vertical="center"/>
    </xf>
    <xf numFmtId="2" fontId="0" fillId="12" borderId="33" xfId="0" applyNumberFormat="1" applyFill="1" applyBorder="1" applyAlignment="1">
      <alignment horizontal="center" vertical="center"/>
    </xf>
    <xf numFmtId="0" fontId="0" fillId="3" borderId="36" xfId="0" applyFill="1" applyBorder="1" applyAlignment="1">
      <alignment vertical="center"/>
    </xf>
    <xf numFmtId="2" fontId="0" fillId="0" borderId="22" xfId="0" applyNumberFormat="1" applyFill="1" applyBorder="1" applyAlignment="1">
      <alignment horizontal="center" vertical="center"/>
    </xf>
    <xf numFmtId="2" fontId="0" fillId="12" borderId="36" xfId="0" applyNumberFormat="1" applyFill="1" applyBorder="1" applyAlignment="1">
      <alignment horizontal="center" vertical="center"/>
    </xf>
    <xf numFmtId="0" fontId="4" fillId="7" borderId="45" xfId="0" applyFont="1" applyFill="1" applyBorder="1" applyAlignment="1">
      <alignment horizontal="center" vertical="center"/>
    </xf>
    <xf numFmtId="0" fontId="0" fillId="0" borderId="44" xfId="0" applyNumberFormat="1" applyFill="1" applyBorder="1" applyAlignment="1">
      <alignment vertical="center"/>
    </xf>
    <xf numFmtId="0" fontId="0" fillId="12" borderId="34" xfId="0" applyFill="1" applyBorder="1" applyAlignment="1">
      <alignment horizontal="center" vertical="center"/>
    </xf>
    <xf numFmtId="191" fontId="0" fillId="0" borderId="34" xfId="1" applyNumberFormat="1" applyFont="1" applyFill="1" applyBorder="1" applyAlignment="1">
      <alignment vertical="center"/>
    </xf>
    <xf numFmtId="191" fontId="0" fillId="0" borderId="8" xfId="1" applyNumberFormat="1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189" fontId="0" fillId="0" borderId="1" xfId="0" applyNumberFormat="1" applyFill="1" applyBorder="1" applyAlignment="1">
      <alignment horizontal="center" vertical="center"/>
    </xf>
    <xf numFmtId="2" fontId="0" fillId="0" borderId="33" xfId="0" applyNumberFormat="1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4" xfId="0" applyFill="1" applyBorder="1" applyAlignment="1">
      <alignment vertical="center"/>
    </xf>
    <xf numFmtId="0" fontId="0" fillId="0" borderId="35" xfId="0" applyFill="1" applyBorder="1" applyAlignment="1">
      <alignment vertical="center"/>
    </xf>
    <xf numFmtId="0" fontId="0" fillId="0" borderId="3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90" fontId="0" fillId="0" borderId="1" xfId="1" applyNumberFormat="1" applyFont="1" applyBorder="1" applyAlignment="1">
      <alignment horizontal="right"/>
    </xf>
    <xf numFmtId="191" fontId="0" fillId="0" borderId="1" xfId="1" applyNumberFormat="1" applyFont="1" applyBorder="1" applyAlignment="1">
      <alignment horizontal="right"/>
    </xf>
    <xf numFmtId="192" fontId="0" fillId="0" borderId="1" xfId="0" applyNumberFormat="1" applyBorder="1"/>
    <xf numFmtId="0" fontId="0" fillId="0" borderId="21" xfId="0" applyBorder="1"/>
    <xf numFmtId="0" fontId="0" fillId="0" borderId="55" xfId="0" applyBorder="1"/>
    <xf numFmtId="0" fontId="6" fillId="3" borderId="14" xfId="0" applyFont="1" applyFill="1" applyBorder="1" applyAlignment="1">
      <alignment horizontal="center"/>
    </xf>
    <xf numFmtId="0" fontId="6" fillId="3" borderId="14" xfId="0" applyFont="1" applyFill="1" applyBorder="1"/>
    <xf numFmtId="192" fontId="0" fillId="2" borderId="1" xfId="0" applyNumberFormat="1" applyFill="1" applyBorder="1"/>
    <xf numFmtId="192" fontId="0" fillId="5" borderId="1" xfId="0" applyNumberFormat="1" applyFill="1" applyBorder="1"/>
    <xf numFmtId="0" fontId="4" fillId="3" borderId="14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7" borderId="32" xfId="0" applyFont="1" applyFill="1" applyBorder="1"/>
    <xf numFmtId="193" fontId="0" fillId="0" borderId="1" xfId="0" applyNumberFormat="1" applyBorder="1"/>
    <xf numFmtId="0" fontId="0" fillId="3" borderId="22" xfId="0" applyFill="1" applyBorder="1" applyAlignment="1">
      <alignment horizontal="center"/>
    </xf>
    <xf numFmtId="0" fontId="0" fillId="3" borderId="5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7" borderId="54" xfId="0" applyFont="1" applyFill="1" applyBorder="1" applyAlignment="1">
      <alignment horizontal="center" vertical="center"/>
    </xf>
    <xf numFmtId="0" fontId="4" fillId="7" borderId="24" xfId="0" applyFont="1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54" xfId="0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3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0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7.0010449320794144E-2"/>
          <c:y val="3.5836177474402785E-2"/>
          <c:w val="0.87251828631138972"/>
          <c:h val="0.85494880546075125"/>
        </c:manualLayout>
      </c:layout>
      <c:scatterChart>
        <c:scatterStyle val="lineMarker"/>
        <c:ser>
          <c:idx val="0"/>
          <c:order val="0"/>
          <c:tx>
            <c:v>DN15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Table!$B$9:$B$12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200</c:v>
                </c:pt>
                <c:pt idx="3">
                  <c:v>10000</c:v>
                </c:pt>
              </c:numCache>
            </c:numRef>
          </c:xVal>
          <c:yVal>
            <c:numRef>
              <c:f>Table!$F$9:$F$12</c:f>
              <c:numCache>
                <c:formatCode>0.00</c:formatCode>
                <c:ptCount val="4"/>
                <c:pt idx="0">
                  <c:v>0.13218130843194287</c:v>
                </c:pt>
                <c:pt idx="1">
                  <c:v>27.781900942995911</c:v>
                </c:pt>
                <c:pt idx="2">
                  <c:v>2469.4067389384104</c:v>
                </c:pt>
                <c:pt idx="3">
                  <c:v>6049286.1539047314</c:v>
                </c:pt>
              </c:numCache>
            </c:numRef>
          </c:yVal>
        </c:ser>
        <c:ser>
          <c:idx val="1"/>
          <c:order val="1"/>
          <c:tx>
            <c:v>DN20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Table!$B$13:$B$16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200</c:v>
                </c:pt>
                <c:pt idx="3">
                  <c:v>2000</c:v>
                </c:pt>
              </c:numCache>
            </c:numRef>
          </c:xVal>
          <c:yVal>
            <c:numRef>
              <c:f>Table!$F$13:$F$16</c:f>
              <c:numCache>
                <c:formatCode>0.00</c:formatCode>
                <c:ptCount val="4"/>
                <c:pt idx="0">
                  <c:v>3.5425228468557092E-2</c:v>
                </c:pt>
                <c:pt idx="1">
                  <c:v>6.7217790964878938</c:v>
                </c:pt>
                <c:pt idx="2">
                  <c:v>567.42143017747139</c:v>
                </c:pt>
                <c:pt idx="3">
                  <c:v>55107.495674968632</c:v>
                </c:pt>
              </c:numCache>
            </c:numRef>
          </c:yVal>
        </c:ser>
        <c:ser>
          <c:idx val="2"/>
          <c:order val="2"/>
          <c:tx>
            <c:v>DN32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Table!$B$21:$B$24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200</c:v>
                </c:pt>
                <c:pt idx="3">
                  <c:v>2000</c:v>
                </c:pt>
              </c:numCache>
            </c:numRef>
          </c:xVal>
          <c:yVal>
            <c:numRef>
              <c:f>Table!$F$21:$F$24</c:f>
              <c:numCache>
                <c:formatCode>0.00</c:formatCode>
                <c:ptCount val="4"/>
                <c:pt idx="0">
                  <c:v>3.4880358635807425E-3</c:v>
                </c:pt>
                <c:pt idx="1">
                  <c:v>0.5646425608445016</c:v>
                </c:pt>
                <c:pt idx="2">
                  <c:v>42.400676697538394</c:v>
                </c:pt>
                <c:pt idx="3">
                  <c:v>3973.3585637314841</c:v>
                </c:pt>
              </c:numCache>
            </c:numRef>
          </c:yVal>
        </c:ser>
        <c:ser>
          <c:idx val="3"/>
          <c:order val="3"/>
          <c:tx>
            <c:v>DN25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Table!$B$17:$B$20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200</c:v>
                </c:pt>
                <c:pt idx="3">
                  <c:v>10000</c:v>
                </c:pt>
              </c:numCache>
            </c:numRef>
          </c:xVal>
          <c:yVal>
            <c:numRef>
              <c:f>Table!$F$17:$F$20</c:f>
              <c:numCache>
                <c:formatCode>0.00</c:formatCode>
                <c:ptCount val="4"/>
                <c:pt idx="0">
                  <c:v>1.1547009514247321E-2</c:v>
                </c:pt>
                <c:pt idx="1">
                  <c:v>2.0218721125121526</c:v>
                </c:pt>
                <c:pt idx="2">
                  <c:v>161.81361760200227</c:v>
                </c:pt>
                <c:pt idx="3">
                  <c:v>385387.73676361708</c:v>
                </c:pt>
              </c:numCache>
            </c:numRef>
          </c:yVal>
        </c:ser>
        <c:ser>
          <c:idx val="4"/>
          <c:order val="4"/>
          <c:tx>
            <c:v>DN40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Table!$B$25:$B$28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200</c:v>
                </c:pt>
                <c:pt idx="3">
                  <c:v>10000</c:v>
                </c:pt>
              </c:numCache>
            </c:numRef>
          </c:xVal>
          <c:yVal>
            <c:numRef>
              <c:f>Table!$F$25:$F$28</c:f>
              <c:numCache>
                <c:formatCode>0.00</c:formatCode>
                <c:ptCount val="4"/>
                <c:pt idx="0">
                  <c:v>1.6093098390877862E-3</c:v>
                </c:pt>
                <c:pt idx="1">
                  <c:v>0.24846834227725845</c:v>
                </c:pt>
                <c:pt idx="2">
                  <c:v>17.875163998630619</c:v>
                </c:pt>
                <c:pt idx="3">
                  <c:v>40665.623343147781</c:v>
                </c:pt>
              </c:numCache>
            </c:numRef>
          </c:yVal>
        </c:ser>
        <c:ser>
          <c:idx val="5"/>
          <c:order val="5"/>
          <c:tx>
            <c:v>DN50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Table!$B$29:$B$32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200</c:v>
                </c:pt>
                <c:pt idx="3">
                  <c:v>10000</c:v>
                </c:pt>
              </c:numCache>
            </c:numRef>
          </c:xVal>
          <c:yVal>
            <c:numRef>
              <c:f>Table!$F$29:$F$32</c:f>
              <c:numCache>
                <c:formatCode>0.00</c:formatCode>
                <c:ptCount val="4"/>
                <c:pt idx="0">
                  <c:v>5.152209456418227E-4</c:v>
                </c:pt>
                <c:pt idx="1">
                  <c:v>7.4429326645861896E-2</c:v>
                </c:pt>
                <c:pt idx="2">
                  <c:v>5.0304548327897916</c:v>
                </c:pt>
                <c:pt idx="3">
                  <c:v>10992.177169415476</c:v>
                </c:pt>
              </c:numCache>
            </c:numRef>
          </c:yVal>
        </c:ser>
        <c:ser>
          <c:idx val="6"/>
          <c:order val="6"/>
          <c:tx>
            <c:v>DN65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Table!$B$33:$B$36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200</c:v>
                </c:pt>
                <c:pt idx="3">
                  <c:v>10000</c:v>
                </c:pt>
              </c:numCache>
            </c:numRef>
          </c:xVal>
          <c:yVal>
            <c:numRef>
              <c:f>Table!$F$33:$F$36</c:f>
              <c:numCache>
                <c:formatCode>0.00</c:formatCode>
                <c:ptCount val="4"/>
                <c:pt idx="0">
                  <c:v>2.1764428836569582E-4</c:v>
                </c:pt>
                <c:pt idx="1">
                  <c:v>2.9933621771852326E-2</c:v>
                </c:pt>
                <c:pt idx="2">
                  <c:v>1.9345581880158542</c:v>
                </c:pt>
                <c:pt idx="3">
                  <c:v>4068.5299703516489</c:v>
                </c:pt>
              </c:numCache>
            </c:numRef>
          </c:yVal>
        </c:ser>
        <c:ser>
          <c:idx val="7"/>
          <c:order val="7"/>
          <c:tx>
            <c:v>DN80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Table!$B$37:$B$40</c:f>
              <c:numCache>
                <c:formatCode>General</c:formatCode>
                <c:ptCount val="4"/>
                <c:pt idx="0">
                  <c:v>1</c:v>
                </c:pt>
                <c:pt idx="1">
                  <c:v>20</c:v>
                </c:pt>
                <c:pt idx="2">
                  <c:v>200</c:v>
                </c:pt>
                <c:pt idx="3">
                  <c:v>10000</c:v>
                </c:pt>
              </c:numCache>
            </c:numRef>
          </c:xVal>
          <c:yVal>
            <c:numRef>
              <c:f>Table!$F$37:$F$40</c:f>
              <c:numCache>
                <c:formatCode>0.00</c:formatCode>
                <c:ptCount val="4"/>
                <c:pt idx="0">
                  <c:v>8.6535031130475175E-5</c:v>
                </c:pt>
                <c:pt idx="1">
                  <c:v>1.1288703069474108E-2</c:v>
                </c:pt>
                <c:pt idx="2">
                  <c:v>0.69800134763785471</c:v>
                </c:pt>
                <c:pt idx="3">
                  <c:v>1398.5310011480403</c:v>
                </c:pt>
              </c:numCache>
            </c:numRef>
          </c:yVal>
        </c:ser>
        <c:ser>
          <c:idx val="8"/>
          <c:order val="8"/>
          <c:tx>
            <c:v>DN100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Table!$B$41:$B$44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10000</c:v>
                </c:pt>
              </c:numCache>
            </c:numRef>
          </c:xVal>
          <c:yVal>
            <c:numRef>
              <c:f>Table!$F$41:$F$44</c:f>
              <c:numCache>
                <c:formatCode>0.00</c:formatCode>
                <c:ptCount val="4"/>
                <c:pt idx="0">
                  <c:v>7.2417054755661886E-5</c:v>
                </c:pt>
                <c:pt idx="1">
                  <c:v>3.115839008920966E-3</c:v>
                </c:pt>
                <c:pt idx="2">
                  <c:v>0.18294813447743308</c:v>
                </c:pt>
                <c:pt idx="3">
                  <c:v>340.23717244862667</c:v>
                </c:pt>
              </c:numCache>
            </c:numRef>
          </c:yVal>
        </c:ser>
        <c:ser>
          <c:idx val="9"/>
          <c:order val="9"/>
          <c:tx>
            <c:v>DN150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Table!$B$45:$B$48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20000</c:v>
                </c:pt>
              </c:numCache>
            </c:numRef>
          </c:xVal>
          <c:yVal>
            <c:numRef>
              <c:f>Table!$F$45:$F$48</c:f>
              <c:numCache>
                <c:formatCode>0.00</c:formatCode>
                <c:ptCount val="4"/>
                <c:pt idx="0">
                  <c:v>1.137990005046411E-5</c:v>
                </c:pt>
                <c:pt idx="1">
                  <c:v>4.5284521003133044E-4</c:v>
                </c:pt>
                <c:pt idx="2">
                  <c:v>2.4920796360967709E-2</c:v>
                </c:pt>
                <c:pt idx="3">
                  <c:v>160.79157846396913</c:v>
                </c:pt>
              </c:numCache>
            </c:numRef>
          </c:yVal>
        </c:ser>
        <c:ser>
          <c:idx val="10"/>
          <c:order val="10"/>
          <c:tx>
            <c:v>DN200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Table!$B$49:$B$52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50000</c:v>
                </c:pt>
              </c:numCache>
            </c:numRef>
          </c:xVal>
          <c:yVal>
            <c:numRef>
              <c:f>Table!$F$49:$F$52</c:f>
              <c:numCache>
                <c:formatCode>0.00</c:formatCode>
                <c:ptCount val="4"/>
                <c:pt idx="0">
                  <c:v>3.3352432546138607E-6</c:v>
                </c:pt>
                <c:pt idx="1">
                  <c:v>1.2527828316050385E-4</c:v>
                </c:pt>
                <c:pt idx="2">
                  <c:v>6.6411683985422585E-3</c:v>
                </c:pt>
                <c:pt idx="3">
                  <c:v>239.22660540660945</c:v>
                </c:pt>
              </c:numCache>
            </c:numRef>
          </c:yVal>
        </c:ser>
        <c:ser>
          <c:idx val="11"/>
          <c:order val="11"/>
          <c:tx>
            <c:v>DN300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Table!$B$57:$B$60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100000</c:v>
                </c:pt>
              </c:numCache>
            </c:numRef>
          </c:xVal>
          <c:yVal>
            <c:numRef>
              <c:f>Table!$F$57:$F$60</c:f>
              <c:numCache>
                <c:formatCode>0.00</c:formatCode>
                <c:ptCount val="4"/>
                <c:pt idx="0">
                  <c:v>5.6330872557497016E-7</c:v>
                </c:pt>
                <c:pt idx="1">
                  <c:v>1.9210909077874875E-5</c:v>
                </c:pt>
                <c:pt idx="2">
                  <c:v>9.6769685079625657E-4</c:v>
                </c:pt>
                <c:pt idx="3">
                  <c:v>117.96898962507375</c:v>
                </c:pt>
              </c:numCache>
            </c:numRef>
          </c:yVal>
        </c:ser>
        <c:ser>
          <c:idx val="13"/>
          <c:order val="12"/>
          <c:tx>
            <c:v>DN400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Table!$B$65:$B$68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100000</c:v>
                </c:pt>
              </c:numCache>
            </c:numRef>
          </c:xVal>
          <c:yVal>
            <c:numRef>
              <c:f>Table!$F$65:$F$68</c:f>
              <c:numCache>
                <c:formatCode>0.00</c:formatCode>
                <c:ptCount val="4"/>
                <c:pt idx="0">
                  <c:v>2.0828580758360158E-7</c:v>
                </c:pt>
                <c:pt idx="1">
                  <c:v>6.6689146985725709E-6</c:v>
                </c:pt>
                <c:pt idx="2">
                  <c:v>3.2642081606775407E-4</c:v>
                </c:pt>
                <c:pt idx="3">
                  <c:v>36.284384792056379</c:v>
                </c:pt>
              </c:numCache>
            </c:numRef>
          </c:yVal>
        </c:ser>
        <c:ser>
          <c:idx val="14"/>
          <c:order val="13"/>
          <c:tx>
            <c:v>DN500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Table!$B$69:$B$72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100000</c:v>
                </c:pt>
              </c:numCache>
            </c:numRef>
          </c:xVal>
          <c:yVal>
            <c:numRef>
              <c:f>Table!$F$69:$F$72</c:f>
              <c:numCache>
                <c:formatCode>0.00</c:formatCode>
                <c:ptCount val="4"/>
                <c:pt idx="0">
                  <c:v>7.8513496273431019E-8</c:v>
                </c:pt>
                <c:pt idx="1">
                  <c:v>2.3433227818054941E-6</c:v>
                </c:pt>
                <c:pt idx="2">
                  <c:v>1.1139270096990245E-4</c:v>
                </c:pt>
                <c:pt idx="3">
                  <c:v>11.309817651011123</c:v>
                </c:pt>
              </c:numCache>
            </c:numRef>
          </c:yVal>
        </c:ser>
        <c:ser>
          <c:idx val="15"/>
          <c:order val="14"/>
          <c:tx>
            <c:v>v=2.4 m/s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Table!$B$80:$B$81</c:f>
              <c:numCache>
                <c:formatCode>General</c:formatCode>
                <c:ptCount val="2"/>
                <c:pt idx="0">
                  <c:v>28.24</c:v>
                </c:pt>
                <c:pt idx="1">
                  <c:v>25840</c:v>
                </c:pt>
              </c:numCache>
            </c:numRef>
          </c:xVal>
          <c:yVal>
            <c:numRef>
              <c:f>Table!$F$80:$F$81</c:f>
              <c:numCache>
                <c:formatCode>0.00</c:formatCode>
                <c:ptCount val="2"/>
                <c:pt idx="0">
                  <c:v>53.651719222812332</c:v>
                </c:pt>
                <c:pt idx="1">
                  <c:v>0.80378623844662123</c:v>
                </c:pt>
              </c:numCache>
            </c:numRef>
          </c:yVal>
        </c:ser>
        <c:ser>
          <c:idx val="16"/>
          <c:order val="15"/>
          <c:tx>
            <c:v>v=1.2 m/s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Table!$B$83:$B$84</c:f>
              <c:numCache>
                <c:formatCode>General</c:formatCode>
                <c:ptCount val="2"/>
                <c:pt idx="0">
                  <c:v>14.12</c:v>
                </c:pt>
                <c:pt idx="1">
                  <c:v>12920</c:v>
                </c:pt>
              </c:numCache>
            </c:numRef>
          </c:xVal>
          <c:yVal>
            <c:numRef>
              <c:f>Table!$F$83:$F$84</c:f>
              <c:numCache>
                <c:formatCode>0.00</c:formatCode>
                <c:ptCount val="2"/>
                <c:pt idx="0">
                  <c:v>14.408505808033176</c:v>
                </c:pt>
                <c:pt idx="1">
                  <c:v>0.21302925437994319</c:v>
                </c:pt>
              </c:numCache>
            </c:numRef>
          </c:yVal>
        </c:ser>
        <c:ser>
          <c:idx val="17"/>
          <c:order val="16"/>
          <c:tx>
            <c:v>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Table!$B$86:$B$87</c:f>
              <c:numCache>
                <c:formatCode>General</c:formatCode>
                <c:ptCount val="2"/>
                <c:pt idx="0">
                  <c:v>11.766666666666666</c:v>
                </c:pt>
                <c:pt idx="1">
                  <c:v>10766.666666666668</c:v>
                </c:pt>
              </c:numCache>
            </c:numRef>
          </c:xVal>
          <c:yVal>
            <c:numRef>
              <c:f>Table!$F$86:$F$87</c:f>
              <c:numCache>
                <c:formatCode>0.00</c:formatCode>
                <c:ptCount val="2"/>
                <c:pt idx="0">
                  <c:v>10.250008177247352</c:v>
                </c:pt>
                <c:pt idx="1">
                  <c:v>0.15076819505426886</c:v>
                </c:pt>
              </c:numCache>
            </c:numRef>
          </c:yVal>
        </c:ser>
        <c:ser>
          <c:idx val="18"/>
          <c:order val="17"/>
          <c:tx>
            <c:v>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Table!$B$89:$B$90</c:f>
              <c:numCache>
                <c:formatCode>General</c:formatCode>
                <c:ptCount val="2"/>
                <c:pt idx="0">
                  <c:v>23.533333333333331</c:v>
                </c:pt>
                <c:pt idx="1">
                  <c:v>21533.333333333336</c:v>
                </c:pt>
              </c:numCache>
            </c:numRef>
          </c:xVal>
          <c:yVal>
            <c:numRef>
              <c:f>Table!$F$89:$F$90</c:f>
              <c:numCache>
                <c:formatCode>0.00</c:formatCode>
                <c:ptCount val="2"/>
                <c:pt idx="0">
                  <c:v>37.858264636447714</c:v>
                </c:pt>
                <c:pt idx="1">
                  <c:v>0.56567683775234279</c:v>
                </c:pt>
              </c:numCache>
            </c:numRef>
          </c:yVal>
        </c:ser>
        <c:ser>
          <c:idx val="19"/>
          <c:order val="18"/>
          <c:tx>
            <c:v>3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Table!$B$92:$B$93</c:f>
              <c:numCache>
                <c:formatCode>General</c:formatCode>
                <c:ptCount val="2"/>
                <c:pt idx="0">
                  <c:v>35.299999999999997</c:v>
                </c:pt>
                <c:pt idx="1">
                  <c:v>32300.000000000004</c:v>
                </c:pt>
              </c:numCache>
            </c:numRef>
          </c:xVal>
          <c:yVal>
            <c:numRef>
              <c:f>Table!$F$92:$F$93</c:f>
              <c:numCache>
                <c:formatCode>0.00</c:formatCode>
                <c:ptCount val="2"/>
                <c:pt idx="0">
                  <c:v>82.409360840810365</c:v>
                </c:pt>
                <c:pt idx="1">
                  <c:v>1.2378499584831697</c:v>
                </c:pt>
              </c:numCache>
            </c:numRef>
          </c:yVal>
        </c:ser>
        <c:ser>
          <c:idx val="20"/>
          <c:order val="19"/>
          <c:tx>
            <c:v>4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Table!$B$95:$B$96</c:f>
              <c:numCache>
                <c:formatCode>General</c:formatCode>
                <c:ptCount val="2"/>
                <c:pt idx="0">
                  <c:v>47.066666666666663</c:v>
                </c:pt>
                <c:pt idx="1">
                  <c:v>43066.666666666672</c:v>
                </c:pt>
              </c:numCache>
            </c:numRef>
          </c:xVal>
          <c:yVal>
            <c:numRef>
              <c:f>Table!$F$95:$F$96</c:f>
              <c:numCache>
                <c:formatCode>0.00</c:formatCode>
                <c:ptCount val="2"/>
                <c:pt idx="0">
                  <c:v>143.82392939711292</c:v>
                </c:pt>
                <c:pt idx="1">
                  <c:v>2.1658454114220973</c:v>
                </c:pt>
              </c:numCache>
            </c:numRef>
          </c:yVal>
        </c:ser>
        <c:ser>
          <c:idx val="21"/>
          <c:order val="20"/>
          <c:tx>
            <c:v>0.5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Table!$B$98:$B$99</c:f>
              <c:numCache>
                <c:formatCode>General</c:formatCode>
                <c:ptCount val="2"/>
                <c:pt idx="0">
                  <c:v>5.8833333333333329</c:v>
                </c:pt>
                <c:pt idx="1">
                  <c:v>5383.3333333333339</c:v>
                </c:pt>
              </c:numCache>
            </c:numRef>
          </c:xVal>
          <c:yVal>
            <c:numRef>
              <c:f>Table!$F$98:$F$99</c:f>
              <c:numCache>
                <c:formatCode>0.00</c:formatCode>
                <c:ptCount val="2"/>
                <c:pt idx="0">
                  <c:v>2.8724529133673729</c:v>
                </c:pt>
                <c:pt idx="1">
                  <c:v>4.1082980732234653E-2</c:v>
                </c:pt>
              </c:numCache>
            </c:numRef>
          </c:yVal>
        </c:ser>
        <c:ser>
          <c:idx val="22"/>
          <c:order val="21"/>
          <c:tx>
            <c:v>0.2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Table!$B$101:$B$103</c:f>
              <c:numCache>
                <c:formatCode>General</c:formatCode>
                <c:ptCount val="3"/>
                <c:pt idx="0">
                  <c:v>2.3533333333333331</c:v>
                </c:pt>
                <c:pt idx="1">
                  <c:v>99</c:v>
                </c:pt>
                <c:pt idx="2">
                  <c:v>2153.3333333333335</c:v>
                </c:pt>
              </c:numCache>
            </c:numRef>
          </c:xVal>
          <c:yVal>
            <c:numRef>
              <c:f>Table!$F$101:$F$103</c:f>
              <c:numCache>
                <c:formatCode>0.00</c:formatCode>
                <c:ptCount val="3"/>
                <c:pt idx="0">
                  <c:v>0.56638078775123935</c:v>
                </c:pt>
                <c:pt idx="1">
                  <c:v>5.1217187610290878E-2</c:v>
                </c:pt>
                <c:pt idx="2">
                  <c:v>7.6101805040247944E-3</c:v>
                </c:pt>
              </c:numCache>
            </c:numRef>
          </c:yVal>
        </c:ser>
        <c:ser>
          <c:idx val="23"/>
          <c:order val="22"/>
          <c:tx>
            <c:v>0.1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Table!$B$105:$B$107</c:f>
              <c:numCache>
                <c:formatCode>General</c:formatCode>
                <c:ptCount val="3"/>
                <c:pt idx="0">
                  <c:v>1.1766666666666665</c:v>
                </c:pt>
                <c:pt idx="1">
                  <c:v>49.5</c:v>
                </c:pt>
                <c:pt idx="2">
                  <c:v>1076.6666666666667</c:v>
                </c:pt>
              </c:numCache>
            </c:numRef>
          </c:xVal>
          <c:yVal>
            <c:numRef>
              <c:f>Table!$F$105:$F$107</c:f>
              <c:numCache>
                <c:formatCode>0.00</c:formatCode>
                <c:ptCount val="3"/>
                <c:pt idx="0">
                  <c:v>0.17348415588910504</c:v>
                </c:pt>
                <c:pt idx="1">
                  <c:v>1.4979653570987081E-2</c:v>
                </c:pt>
                <c:pt idx="2">
                  <c:v>2.173121412524244E-3</c:v>
                </c:pt>
              </c:numCache>
            </c:numRef>
          </c:yVal>
        </c:ser>
        <c:ser>
          <c:idx val="24"/>
          <c:order val="23"/>
          <c:tx>
            <c:v>DN250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Table!$B$53:$B$56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60000</c:v>
                </c:pt>
              </c:numCache>
            </c:numRef>
          </c:xVal>
          <c:yVal>
            <c:numRef>
              <c:f>Table!$F$53:$F$56</c:f>
              <c:numCache>
                <c:formatCode>0.00</c:formatCode>
                <c:ptCount val="4"/>
                <c:pt idx="0">
                  <c:v>1.2167551376508874E-6</c:v>
                </c:pt>
                <c:pt idx="1">
                  <c:v>4.336459053753625E-5</c:v>
                </c:pt>
                <c:pt idx="2">
                  <c:v>2.2328493287863392E-3</c:v>
                </c:pt>
                <c:pt idx="3">
                  <c:v>105.81988133048992</c:v>
                </c:pt>
              </c:numCache>
            </c:numRef>
          </c:yVal>
        </c:ser>
        <c:ser>
          <c:idx val="25"/>
          <c:order val="24"/>
          <c:tx>
            <c:v>DN125</c:v>
          </c:tx>
          <c:spPr>
            <a:ln w="19050">
              <a:solidFill>
                <a:srgbClr val="339966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339966"/>
                </a:solidFill>
                <a:prstDash val="solid"/>
              </a:ln>
            </c:spPr>
          </c:marker>
          <c:dPt>
            <c:idx val="3"/>
            <c:marker>
              <c:symbol val="none"/>
            </c:marker>
            <c:spPr>
              <a:ln w="19050">
                <a:solidFill>
                  <a:srgbClr val="000000"/>
                </a:solidFill>
                <a:prstDash val="solid"/>
              </a:ln>
            </c:spPr>
          </c:dPt>
          <c:xVal>
            <c:numRef>
              <c:f>Table!$B$73:$B$76</c:f>
              <c:numCache>
                <c:formatCode>General</c:formatCode>
                <c:ptCount val="4"/>
                <c:pt idx="0">
                  <c:v>2</c:v>
                </c:pt>
                <c:pt idx="1">
                  <c:v>20</c:v>
                </c:pt>
                <c:pt idx="2">
                  <c:v>200</c:v>
                </c:pt>
                <c:pt idx="3">
                  <c:v>10000</c:v>
                </c:pt>
              </c:numCache>
            </c:numRef>
          </c:xVal>
          <c:yVal>
            <c:numRef>
              <c:f>Table!$F$73:$F$76</c:f>
              <c:numCache>
                <c:formatCode>0.00</c:formatCode>
                <c:ptCount val="4"/>
                <c:pt idx="0">
                  <c:v>2.6025210280155382E-5</c:v>
                </c:pt>
                <c:pt idx="1">
                  <c:v>1.0735407832775149E-3</c:v>
                </c:pt>
                <c:pt idx="2">
                  <c:v>6.0719320422002399E-2</c:v>
                </c:pt>
                <c:pt idx="3">
                  <c:v>105.43196574028697</c:v>
                </c:pt>
              </c:numCache>
            </c:numRef>
          </c:yVal>
        </c:ser>
        <c:axId val="87457152"/>
        <c:axId val="87472000"/>
      </c:scatterChart>
      <c:valAx>
        <c:axId val="87457152"/>
        <c:scaling>
          <c:logBase val="10"/>
          <c:orientation val="minMax"/>
          <c:max val="100000"/>
          <c:min val="1"/>
        </c:scaling>
        <c:axPos val="b"/>
        <c:majorGridlines>
          <c:spPr>
            <a:ln w="12700">
              <a:solidFill>
                <a:srgbClr val="808080"/>
              </a:solidFill>
              <a:prstDash val="solid"/>
            </a:ln>
          </c:spPr>
        </c:majorGridlines>
        <c:minorGridlines>
          <c:spPr>
            <a:ln w="12700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 sz="14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อัตราไหล (</a:t>
                </a:r>
                <a:r>
                  <a:rPr lang="en-US" sz="14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lpm)</a:t>
                </a:r>
              </a:p>
            </c:rich>
          </c:tx>
          <c:layout>
            <c:manualLayout>
              <c:xMode val="edge"/>
              <c:yMode val="edge"/>
              <c:x val="0.47362980881308336"/>
              <c:y val="0.9440677935735855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87472000"/>
        <c:crossesAt val="1.0000000000000009E-3"/>
        <c:crossBetween val="midCat"/>
      </c:valAx>
      <c:valAx>
        <c:axId val="87472000"/>
        <c:scaling>
          <c:logBase val="10"/>
          <c:orientation val="minMax"/>
          <c:max val="100"/>
          <c:min val="0.1"/>
        </c:scaling>
        <c:axPos val="l"/>
        <c:majorGridlines>
          <c:spPr>
            <a:ln w="12700">
              <a:solidFill>
                <a:srgbClr val="808080"/>
              </a:solidFill>
              <a:prstDash val="solid"/>
            </a:ln>
          </c:spPr>
        </c:majorGridlines>
        <c:minorGridlines>
          <c:spPr>
            <a:ln w="12700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 sz="16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อัตราความดันตก </a:t>
                </a:r>
                <a:r>
                  <a:rPr lang="en-US" sz="16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 </a:t>
                </a:r>
                <a:r>
                  <a:rPr lang="th-TH" sz="16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(</a:t>
                </a:r>
                <a:r>
                  <a:rPr lang="en-US" sz="16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m.WG./100m)</a:t>
                </a:r>
              </a:p>
            </c:rich>
          </c:tx>
          <c:layout>
            <c:manualLayout>
              <c:xMode val="edge"/>
              <c:yMode val="edge"/>
              <c:x val="9.9822005007994749E-3"/>
              <c:y val="0.27896679297340427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87457152"/>
        <c:crosses val="autoZero"/>
        <c:crossBetween val="midCat"/>
        <c:majorUnit val="10"/>
        <c:min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29104986876640432"/>
                  <c:y val="4.9899387576552927E-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Hunter!$C$42:$C$50</c:f>
              <c:numCache>
                <c:formatCode>General</c:formatCode>
                <c:ptCount val="9"/>
                <c:pt idx="0">
                  <c:v>1000</c:v>
                </c:pt>
                <c:pt idx="1">
                  <c:v>1250</c:v>
                </c:pt>
                <c:pt idx="2">
                  <c:v>1500</c:v>
                </c:pt>
                <c:pt idx="3">
                  <c:v>1750</c:v>
                </c:pt>
                <c:pt idx="4">
                  <c:v>2000</c:v>
                </c:pt>
                <c:pt idx="5">
                  <c:v>2250</c:v>
                </c:pt>
                <c:pt idx="6">
                  <c:v>2500</c:v>
                </c:pt>
                <c:pt idx="7">
                  <c:v>2750</c:v>
                </c:pt>
                <c:pt idx="8">
                  <c:v>3000</c:v>
                </c:pt>
              </c:numCache>
            </c:numRef>
          </c:xVal>
          <c:yVal>
            <c:numRef>
              <c:f>Hunter!$D$42:$D$50</c:f>
              <c:numCache>
                <c:formatCode>General</c:formatCode>
                <c:ptCount val="9"/>
                <c:pt idx="0">
                  <c:v>208</c:v>
                </c:pt>
                <c:pt idx="1">
                  <c:v>240</c:v>
                </c:pt>
                <c:pt idx="2">
                  <c:v>267</c:v>
                </c:pt>
                <c:pt idx="3">
                  <c:v>294</c:v>
                </c:pt>
                <c:pt idx="4">
                  <c:v>321</c:v>
                </c:pt>
                <c:pt idx="5">
                  <c:v>348</c:v>
                </c:pt>
                <c:pt idx="6">
                  <c:v>375</c:v>
                </c:pt>
                <c:pt idx="7">
                  <c:v>402</c:v>
                </c:pt>
                <c:pt idx="8">
                  <c:v>432</c:v>
                </c:pt>
              </c:numCache>
            </c:numRef>
          </c:yVal>
        </c:ser>
        <c:axId val="115337856"/>
        <c:axId val="115339648"/>
      </c:scatterChart>
      <c:valAx>
        <c:axId val="11533785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h-TH"/>
          </a:p>
        </c:txPr>
        <c:crossAx val="115339648"/>
        <c:crosses val="autoZero"/>
        <c:crossBetween val="midCat"/>
      </c:valAx>
      <c:valAx>
        <c:axId val="115339648"/>
        <c:scaling>
          <c:orientation val="minMax"/>
        </c:scaling>
        <c:axPos val="l"/>
        <c:majorGridlines/>
        <c:numFmt formatCode="General" sourceLinked="1"/>
        <c:tickLblPos val="nextTo"/>
        <c:crossAx val="115337856"/>
        <c:crosses val="autoZero"/>
        <c:crossBetween val="midCat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3"/>
            <c:forward val="10"/>
            <c:dispRSqr val="1"/>
            <c:dispEq val="1"/>
            <c:trendlineLbl>
              <c:layout>
                <c:manualLayout>
                  <c:x val="5.4873797025371908E-2"/>
                  <c:y val="0.49399351122776347"/>
                </c:manualLayout>
              </c:layout>
              <c:numFmt formatCode="0.0000E+00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Hunter!$C$50:$C$57</c:f>
              <c:numCache>
                <c:formatCode>General</c:formatCode>
                <c:ptCount val="8"/>
                <c:pt idx="0">
                  <c:v>3000</c:v>
                </c:pt>
                <c:pt idx="1">
                  <c:v>4000</c:v>
                </c:pt>
                <c:pt idx="2">
                  <c:v>5000</c:v>
                </c:pt>
                <c:pt idx="3">
                  <c:v>6000</c:v>
                </c:pt>
                <c:pt idx="4">
                  <c:v>7000</c:v>
                </c:pt>
                <c:pt idx="5">
                  <c:v>8000</c:v>
                </c:pt>
                <c:pt idx="6">
                  <c:v>9000</c:v>
                </c:pt>
                <c:pt idx="7">
                  <c:v>10000</c:v>
                </c:pt>
              </c:numCache>
            </c:numRef>
          </c:xVal>
          <c:yVal>
            <c:numRef>
              <c:f>Hunter!$D$50:$D$57</c:f>
              <c:numCache>
                <c:formatCode>General</c:formatCode>
                <c:ptCount val="8"/>
                <c:pt idx="0">
                  <c:v>432</c:v>
                </c:pt>
                <c:pt idx="1">
                  <c:v>525</c:v>
                </c:pt>
                <c:pt idx="2">
                  <c:v>593</c:v>
                </c:pt>
                <c:pt idx="3">
                  <c:v>643</c:v>
                </c:pt>
                <c:pt idx="4">
                  <c:v>685</c:v>
                </c:pt>
                <c:pt idx="5">
                  <c:v>718</c:v>
                </c:pt>
                <c:pt idx="6">
                  <c:v>745</c:v>
                </c:pt>
                <c:pt idx="7">
                  <c:v>769</c:v>
                </c:pt>
              </c:numCache>
            </c:numRef>
          </c:yVal>
        </c:ser>
        <c:axId val="115359744"/>
        <c:axId val="115361280"/>
      </c:scatterChart>
      <c:valAx>
        <c:axId val="11535974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h-TH"/>
          </a:p>
        </c:txPr>
        <c:crossAx val="115361280"/>
        <c:crosses val="autoZero"/>
        <c:crossBetween val="midCat"/>
      </c:valAx>
      <c:valAx>
        <c:axId val="115361280"/>
        <c:scaling>
          <c:orientation val="minMax"/>
        </c:scaling>
        <c:axPos val="l"/>
        <c:majorGridlines/>
        <c:numFmt formatCode="General" sourceLinked="1"/>
        <c:tickLblPos val="nextTo"/>
        <c:crossAx val="115359744"/>
        <c:crosses val="autoZero"/>
        <c:crossBetween val="midCat"/>
      </c:valAx>
    </c:plotArea>
    <c:plotVisOnly val="1"/>
    <c:dispBlanksAs val="gap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8.6099585062240663E-2"/>
          <c:y val="3.7542662116040987E-2"/>
          <c:w val="0.83506224066390045"/>
          <c:h val="0.84982935153583683"/>
        </c:manualLayout>
      </c:layout>
      <c:scatterChart>
        <c:scatterStyle val="smoothMarker"/>
        <c:ser>
          <c:idx val="0"/>
          <c:order val="0"/>
          <c:tx>
            <c:v>วาล์วชักโครก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Hunter!$C$11:$C$57</c:f>
              <c:numCache>
                <c:formatCode>General</c:formatCode>
                <c:ptCount val="47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18</c:v>
                </c:pt>
                <c:pt idx="7">
                  <c:v>20</c:v>
                </c:pt>
                <c:pt idx="8">
                  <c:v>25</c:v>
                </c:pt>
                <c:pt idx="9">
                  <c:v>30</c:v>
                </c:pt>
                <c:pt idx="10">
                  <c:v>35</c:v>
                </c:pt>
                <c:pt idx="11">
                  <c:v>40</c:v>
                </c:pt>
                <c:pt idx="12">
                  <c:v>45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90</c:v>
                </c:pt>
                <c:pt idx="18">
                  <c:v>100</c:v>
                </c:pt>
                <c:pt idx="19">
                  <c:v>120</c:v>
                </c:pt>
                <c:pt idx="20">
                  <c:v>140</c:v>
                </c:pt>
                <c:pt idx="21">
                  <c:v>160</c:v>
                </c:pt>
                <c:pt idx="22">
                  <c:v>180</c:v>
                </c:pt>
                <c:pt idx="23">
                  <c:v>200</c:v>
                </c:pt>
                <c:pt idx="24">
                  <c:v>225</c:v>
                </c:pt>
                <c:pt idx="25">
                  <c:v>250</c:v>
                </c:pt>
                <c:pt idx="26">
                  <c:v>275</c:v>
                </c:pt>
                <c:pt idx="27">
                  <c:v>300</c:v>
                </c:pt>
                <c:pt idx="28">
                  <c:v>400</c:v>
                </c:pt>
                <c:pt idx="29">
                  <c:v>500</c:v>
                </c:pt>
                <c:pt idx="30">
                  <c:v>750</c:v>
                </c:pt>
                <c:pt idx="31">
                  <c:v>1000</c:v>
                </c:pt>
                <c:pt idx="32">
                  <c:v>1250</c:v>
                </c:pt>
                <c:pt idx="33">
                  <c:v>1500</c:v>
                </c:pt>
                <c:pt idx="34">
                  <c:v>1750</c:v>
                </c:pt>
                <c:pt idx="35">
                  <c:v>2000</c:v>
                </c:pt>
                <c:pt idx="36">
                  <c:v>2250</c:v>
                </c:pt>
                <c:pt idx="37">
                  <c:v>2500</c:v>
                </c:pt>
                <c:pt idx="38">
                  <c:v>2750</c:v>
                </c:pt>
                <c:pt idx="39">
                  <c:v>3000</c:v>
                </c:pt>
                <c:pt idx="40">
                  <c:v>4000</c:v>
                </c:pt>
                <c:pt idx="41">
                  <c:v>5000</c:v>
                </c:pt>
                <c:pt idx="42">
                  <c:v>6000</c:v>
                </c:pt>
                <c:pt idx="43">
                  <c:v>7000</c:v>
                </c:pt>
                <c:pt idx="44">
                  <c:v>8000</c:v>
                </c:pt>
                <c:pt idx="45">
                  <c:v>9000</c:v>
                </c:pt>
                <c:pt idx="46">
                  <c:v>10000</c:v>
                </c:pt>
              </c:numCache>
            </c:numRef>
          </c:xVal>
          <c:yVal>
            <c:numRef>
              <c:f>Hunter!$G$11:$G$57</c:f>
              <c:numCache>
                <c:formatCode>_(* #,##0.0_);_(* \(#,##0.0\);_(* "-"??_);_(@_)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102.19500000000001</c:v>
                </c:pt>
                <c:pt idx="3">
                  <c:v>108.251</c:v>
                </c:pt>
                <c:pt idx="4">
                  <c:v>114.307</c:v>
                </c:pt>
                <c:pt idx="5">
                  <c:v>120.36300000000001</c:v>
                </c:pt>
                <c:pt idx="6">
                  <c:v>126.419</c:v>
                </c:pt>
                <c:pt idx="7">
                  <c:v>132.47499999999999</c:v>
                </c:pt>
                <c:pt idx="8">
                  <c:v>143.83000000000001</c:v>
                </c:pt>
                <c:pt idx="9">
                  <c:v>155.185</c:v>
                </c:pt>
                <c:pt idx="10">
                  <c:v>165.78299999999999</c:v>
                </c:pt>
                <c:pt idx="11">
                  <c:v>176.0025</c:v>
                </c:pt>
                <c:pt idx="12">
                  <c:v>185.465</c:v>
                </c:pt>
                <c:pt idx="13">
                  <c:v>194.92750000000001</c:v>
                </c:pt>
                <c:pt idx="14">
                  <c:v>208.17500000000001</c:v>
                </c:pt>
                <c:pt idx="15">
                  <c:v>221.42250000000001</c:v>
                </c:pt>
                <c:pt idx="16">
                  <c:v>234.67000000000002</c:v>
                </c:pt>
                <c:pt idx="17">
                  <c:v>245.268</c:v>
                </c:pt>
                <c:pt idx="18">
                  <c:v>255.48750000000001</c:v>
                </c:pt>
                <c:pt idx="19">
                  <c:v>274.41250000000002</c:v>
                </c:pt>
                <c:pt idx="20">
                  <c:v>293.33750000000003</c:v>
                </c:pt>
                <c:pt idx="21">
                  <c:v>312.26249999999999</c:v>
                </c:pt>
                <c:pt idx="22">
                  <c:v>329.29500000000002</c:v>
                </c:pt>
                <c:pt idx="23">
                  <c:v>346.32749999999999</c:v>
                </c:pt>
                <c:pt idx="24">
                  <c:v>367.14500000000004</c:v>
                </c:pt>
                <c:pt idx="25">
                  <c:v>382.28500000000003</c:v>
                </c:pt>
                <c:pt idx="26">
                  <c:v>399.3175</c:v>
                </c:pt>
                <c:pt idx="27">
                  <c:v>416.35</c:v>
                </c:pt>
                <c:pt idx="28">
                  <c:v>476.91</c:v>
                </c:pt>
                <c:pt idx="29">
                  <c:v>537.47</c:v>
                </c:pt>
                <c:pt idx="30">
                  <c:v>673.73</c:v>
                </c:pt>
                <c:pt idx="31">
                  <c:v>787.28</c:v>
                </c:pt>
                <c:pt idx="32">
                  <c:v>908.40000000000009</c:v>
                </c:pt>
                <c:pt idx="33" formatCode="_(* #,##0_);_(* \(#,##0\);_(* &quot;-&quot;??_);_(@_)">
                  <c:v>1010.595</c:v>
                </c:pt>
                <c:pt idx="34" formatCode="_(* #,##0_);_(* \(#,##0\);_(* &quot;-&quot;??_);_(@_)">
                  <c:v>1112.79</c:v>
                </c:pt>
                <c:pt idx="35" formatCode="_(* #,##0_);_(* \(#,##0\);_(* &quot;-&quot;??_);_(@_)">
                  <c:v>1214.9850000000001</c:v>
                </c:pt>
                <c:pt idx="36" formatCode="_(* #,##0_);_(* \(#,##0\);_(* &quot;-&quot;??_);_(@_)">
                  <c:v>1317.18</c:v>
                </c:pt>
                <c:pt idx="37" formatCode="_(* #,##0_);_(* \(#,##0\);_(* &quot;-&quot;??_);_(@_)">
                  <c:v>1419.375</c:v>
                </c:pt>
                <c:pt idx="38" formatCode="_(* #,##0_);_(* \(#,##0\);_(* &quot;-&quot;??_);_(@_)">
                  <c:v>1521.5700000000002</c:v>
                </c:pt>
                <c:pt idx="39" formatCode="_(* #,##0_);_(* \(#,##0\);_(* &quot;-&quot;??_);_(@_)">
                  <c:v>1635.1200000000001</c:v>
                </c:pt>
                <c:pt idx="40" formatCode="_(* #,##0_);_(* \(#,##0\);_(* &quot;-&quot;??_);_(@_)">
                  <c:v>1987.125</c:v>
                </c:pt>
                <c:pt idx="41" formatCode="_(* #,##0_);_(* \(#,##0\);_(* &quot;-&quot;??_);_(@_)">
                  <c:v>2244.5050000000001</c:v>
                </c:pt>
                <c:pt idx="42" formatCode="_(* #,##0_);_(* \(#,##0\);_(* &quot;-&quot;??_);_(@_)">
                  <c:v>2433.7550000000001</c:v>
                </c:pt>
                <c:pt idx="43" formatCode="_(* #,##0_);_(* \(#,##0\);_(* &quot;-&quot;??_);_(@_)">
                  <c:v>2592.7249999999999</c:v>
                </c:pt>
                <c:pt idx="44" formatCode="_(* #,##0_);_(* \(#,##0\);_(* &quot;-&quot;??_);_(@_)">
                  <c:v>2717.63</c:v>
                </c:pt>
                <c:pt idx="45" formatCode="_(* #,##0_);_(* \(#,##0\);_(* &quot;-&quot;??_);_(@_)">
                  <c:v>2819.8250000000003</c:v>
                </c:pt>
                <c:pt idx="46" formatCode="_(* #,##0_);_(* \(#,##0\);_(* &quot;-&quot;??_);_(@_)">
                  <c:v>2910.665</c:v>
                </c:pt>
              </c:numCache>
            </c:numRef>
          </c:yVal>
        </c:ser>
        <c:ser>
          <c:idx val="1"/>
          <c:order val="1"/>
          <c:tx>
            <c:v>ถังชักโครก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Hunter!$C$11:$C$57</c:f>
              <c:numCache>
                <c:formatCode>General</c:formatCode>
                <c:ptCount val="47"/>
                <c:pt idx="0">
                  <c:v>6</c:v>
                </c:pt>
                <c:pt idx="1">
                  <c:v>8</c:v>
                </c:pt>
                <c:pt idx="2">
                  <c:v>10</c:v>
                </c:pt>
                <c:pt idx="3">
                  <c:v>12</c:v>
                </c:pt>
                <c:pt idx="4">
                  <c:v>14</c:v>
                </c:pt>
                <c:pt idx="5">
                  <c:v>16</c:v>
                </c:pt>
                <c:pt idx="6">
                  <c:v>18</c:v>
                </c:pt>
                <c:pt idx="7">
                  <c:v>20</c:v>
                </c:pt>
                <c:pt idx="8">
                  <c:v>25</c:v>
                </c:pt>
                <c:pt idx="9">
                  <c:v>30</c:v>
                </c:pt>
                <c:pt idx="10">
                  <c:v>35</c:v>
                </c:pt>
                <c:pt idx="11">
                  <c:v>40</c:v>
                </c:pt>
                <c:pt idx="12">
                  <c:v>45</c:v>
                </c:pt>
                <c:pt idx="13">
                  <c:v>50</c:v>
                </c:pt>
                <c:pt idx="14">
                  <c:v>60</c:v>
                </c:pt>
                <c:pt idx="15">
                  <c:v>70</c:v>
                </c:pt>
                <c:pt idx="16">
                  <c:v>80</c:v>
                </c:pt>
                <c:pt idx="17">
                  <c:v>90</c:v>
                </c:pt>
                <c:pt idx="18">
                  <c:v>100</c:v>
                </c:pt>
                <c:pt idx="19">
                  <c:v>120</c:v>
                </c:pt>
                <c:pt idx="20">
                  <c:v>140</c:v>
                </c:pt>
                <c:pt idx="21">
                  <c:v>160</c:v>
                </c:pt>
                <c:pt idx="22">
                  <c:v>180</c:v>
                </c:pt>
                <c:pt idx="23">
                  <c:v>200</c:v>
                </c:pt>
                <c:pt idx="24">
                  <c:v>225</c:v>
                </c:pt>
                <c:pt idx="25">
                  <c:v>250</c:v>
                </c:pt>
                <c:pt idx="26">
                  <c:v>275</c:v>
                </c:pt>
                <c:pt idx="27">
                  <c:v>300</c:v>
                </c:pt>
                <c:pt idx="28">
                  <c:v>400</c:v>
                </c:pt>
                <c:pt idx="29">
                  <c:v>500</c:v>
                </c:pt>
                <c:pt idx="30">
                  <c:v>750</c:v>
                </c:pt>
                <c:pt idx="31">
                  <c:v>1000</c:v>
                </c:pt>
                <c:pt idx="32">
                  <c:v>1250</c:v>
                </c:pt>
                <c:pt idx="33">
                  <c:v>1500</c:v>
                </c:pt>
                <c:pt idx="34">
                  <c:v>1750</c:v>
                </c:pt>
                <c:pt idx="35">
                  <c:v>2000</c:v>
                </c:pt>
                <c:pt idx="36">
                  <c:v>2250</c:v>
                </c:pt>
                <c:pt idx="37">
                  <c:v>2500</c:v>
                </c:pt>
                <c:pt idx="38">
                  <c:v>2750</c:v>
                </c:pt>
                <c:pt idx="39">
                  <c:v>3000</c:v>
                </c:pt>
                <c:pt idx="40">
                  <c:v>4000</c:v>
                </c:pt>
                <c:pt idx="41">
                  <c:v>5000</c:v>
                </c:pt>
                <c:pt idx="42">
                  <c:v>6000</c:v>
                </c:pt>
                <c:pt idx="43">
                  <c:v>7000</c:v>
                </c:pt>
                <c:pt idx="44">
                  <c:v>8000</c:v>
                </c:pt>
                <c:pt idx="45">
                  <c:v>9000</c:v>
                </c:pt>
                <c:pt idx="46">
                  <c:v>10000</c:v>
                </c:pt>
              </c:numCache>
            </c:numRef>
          </c:xVal>
          <c:yVal>
            <c:numRef>
              <c:f>Hunter!$F$11:$F$57</c:f>
              <c:numCache>
                <c:formatCode>_(* #,##0.0_);_(* \(#,##0.0\);_(* "-"??_);_(@_)</c:formatCode>
                <c:ptCount val="47"/>
                <c:pt idx="0">
                  <c:v>18.925000000000001</c:v>
                </c:pt>
                <c:pt idx="1">
                  <c:v>24.602499999999999</c:v>
                </c:pt>
                <c:pt idx="2">
                  <c:v>30.28</c:v>
                </c:pt>
                <c:pt idx="3">
                  <c:v>34.821999999999996</c:v>
                </c:pt>
                <c:pt idx="4">
                  <c:v>39.364000000000004</c:v>
                </c:pt>
                <c:pt idx="5">
                  <c:v>43.905999999999999</c:v>
                </c:pt>
                <c:pt idx="6">
                  <c:v>48.448000000000008</c:v>
                </c:pt>
                <c:pt idx="7">
                  <c:v>52.99</c:v>
                </c:pt>
                <c:pt idx="8">
                  <c:v>64.344999999999999</c:v>
                </c:pt>
                <c:pt idx="9">
                  <c:v>75.7</c:v>
                </c:pt>
                <c:pt idx="10">
                  <c:v>85.162500000000009</c:v>
                </c:pt>
                <c:pt idx="11">
                  <c:v>93.868000000000009</c:v>
                </c:pt>
                <c:pt idx="12">
                  <c:v>102.19500000000001</c:v>
                </c:pt>
                <c:pt idx="13">
                  <c:v>109.765</c:v>
                </c:pt>
                <c:pt idx="14">
                  <c:v>121.12</c:v>
                </c:pt>
                <c:pt idx="15">
                  <c:v>132.47499999999999</c:v>
                </c:pt>
                <c:pt idx="16">
                  <c:v>143.83000000000001</c:v>
                </c:pt>
                <c:pt idx="17">
                  <c:v>155.185</c:v>
                </c:pt>
                <c:pt idx="18">
                  <c:v>164.64750000000001</c:v>
                </c:pt>
                <c:pt idx="19">
                  <c:v>181.68</c:v>
                </c:pt>
                <c:pt idx="20">
                  <c:v>198.71250000000001</c:v>
                </c:pt>
                <c:pt idx="21">
                  <c:v>215.745</c:v>
                </c:pt>
                <c:pt idx="22">
                  <c:v>230.88500000000002</c:v>
                </c:pt>
                <c:pt idx="23">
                  <c:v>246.02500000000001</c:v>
                </c:pt>
                <c:pt idx="24">
                  <c:v>264.95</c:v>
                </c:pt>
                <c:pt idx="25">
                  <c:v>283.875</c:v>
                </c:pt>
                <c:pt idx="26">
                  <c:v>302.8</c:v>
                </c:pt>
                <c:pt idx="27">
                  <c:v>321.72500000000002</c:v>
                </c:pt>
                <c:pt idx="28">
                  <c:v>397.42500000000001</c:v>
                </c:pt>
                <c:pt idx="29">
                  <c:v>473.125</c:v>
                </c:pt>
                <c:pt idx="30">
                  <c:v>643.45000000000005</c:v>
                </c:pt>
                <c:pt idx="31">
                  <c:v>787.28</c:v>
                </c:pt>
                <c:pt idx="32">
                  <c:v>908.40000000000009</c:v>
                </c:pt>
                <c:pt idx="33" formatCode="_(* #,##0_);_(* \(#,##0\);_(* &quot;-&quot;??_);_(@_)">
                  <c:v>1010.595</c:v>
                </c:pt>
                <c:pt idx="34" formatCode="_(* #,##0_);_(* \(#,##0\);_(* &quot;-&quot;??_);_(@_)">
                  <c:v>1112.79</c:v>
                </c:pt>
                <c:pt idx="35" formatCode="_(* #,##0_);_(* \(#,##0\);_(* &quot;-&quot;??_);_(@_)">
                  <c:v>1214.9850000000001</c:v>
                </c:pt>
                <c:pt idx="36" formatCode="_(* #,##0_);_(* \(#,##0\);_(* &quot;-&quot;??_);_(@_)">
                  <c:v>1317.18</c:v>
                </c:pt>
                <c:pt idx="37" formatCode="_(* #,##0_);_(* \(#,##0\);_(* &quot;-&quot;??_);_(@_)">
                  <c:v>1419.375</c:v>
                </c:pt>
                <c:pt idx="38" formatCode="_(* #,##0_);_(* \(#,##0\);_(* &quot;-&quot;??_);_(@_)">
                  <c:v>1521.5700000000002</c:v>
                </c:pt>
                <c:pt idx="39" formatCode="_(* #,##0_);_(* \(#,##0\);_(* &quot;-&quot;??_);_(@_)">
                  <c:v>1635.1200000000001</c:v>
                </c:pt>
                <c:pt idx="40" formatCode="_(* #,##0_);_(* \(#,##0\);_(* &quot;-&quot;??_);_(@_)">
                  <c:v>1987.125</c:v>
                </c:pt>
                <c:pt idx="41" formatCode="_(* #,##0_);_(* \(#,##0\);_(* &quot;-&quot;??_);_(@_)">
                  <c:v>2244.5050000000001</c:v>
                </c:pt>
                <c:pt idx="42" formatCode="_(* #,##0_);_(* \(#,##0\);_(* &quot;-&quot;??_);_(@_)">
                  <c:v>2433.7550000000001</c:v>
                </c:pt>
                <c:pt idx="43" formatCode="_(* #,##0_);_(* \(#,##0\);_(* &quot;-&quot;??_);_(@_)">
                  <c:v>2592.7249999999999</c:v>
                </c:pt>
                <c:pt idx="44" formatCode="_(* #,##0_);_(* \(#,##0\);_(* &quot;-&quot;??_);_(@_)">
                  <c:v>2717.63</c:v>
                </c:pt>
                <c:pt idx="45" formatCode="_(* #,##0_);_(* \(#,##0\);_(* &quot;-&quot;??_);_(@_)">
                  <c:v>2819.8250000000003</c:v>
                </c:pt>
                <c:pt idx="46" formatCode="_(* #,##0_);_(* \(#,##0\);_(* &quot;-&quot;??_);_(@_)">
                  <c:v>2910.665</c:v>
                </c:pt>
              </c:numCache>
            </c:numRef>
          </c:yVal>
          <c:smooth val="1"/>
        </c:ser>
        <c:axId val="115612672"/>
        <c:axId val="115618944"/>
      </c:scatterChart>
      <c:valAx>
        <c:axId val="115612672"/>
        <c:scaling>
          <c:orientation val="minMax"/>
          <c:max val="10000"/>
        </c:scaling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 sz="16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หน่วยสุขภัณฑ์ (</a:t>
                </a:r>
                <a:r>
                  <a:rPr lang="en-US" sz="16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FU)</a:t>
                </a:r>
              </a:p>
            </c:rich>
          </c:tx>
          <c:layout>
            <c:manualLayout>
              <c:xMode val="edge"/>
              <c:yMode val="edge"/>
              <c:x val="0.43983402489626577"/>
              <c:y val="0.9215017064846416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115618944"/>
        <c:crosses val="autoZero"/>
        <c:crossBetween val="midCat"/>
      </c:valAx>
      <c:valAx>
        <c:axId val="115618944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th-TH" sz="16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อัตราการไหลที่ต้องการ (</a:t>
                </a:r>
                <a:r>
                  <a:rPr lang="en-US" sz="1600" b="0" i="0" u="none" strike="noStrike" baseline="0">
                    <a:solidFill>
                      <a:srgbClr val="000000"/>
                    </a:solidFill>
                    <a:latin typeface="Browallia New"/>
                    <a:cs typeface="Browallia New"/>
                  </a:rPr>
                  <a:t>LPM)</a:t>
                </a:r>
              </a:p>
            </c:rich>
          </c:tx>
          <c:layout>
            <c:manualLayout>
              <c:xMode val="edge"/>
              <c:yMode val="edge"/>
              <c:x val="0"/>
              <c:y val="0.30716723549488084"/>
            </c:manualLayout>
          </c:layout>
          <c:spPr>
            <a:noFill/>
            <a:ln w="25400">
              <a:noFill/>
            </a:ln>
          </c:spPr>
        </c:title>
        <c:numFmt formatCode="#,##0;\-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1156126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78838174273859"/>
          <c:y val="6.6552901023890804E-2"/>
          <c:w val="0.12448132780082989"/>
          <c:h val="0.11433447098976109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70" b="0" i="0" u="none" strike="noStrike" baseline="0">
              <a:solidFill>
                <a:srgbClr val="000000"/>
              </a:solidFill>
              <a:latin typeface="Browallia New"/>
              <a:ea typeface="Browallia New"/>
              <a:cs typeface="Browallia New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6.9502074688796739E-2"/>
          <c:y val="3.5836177474402785E-2"/>
          <c:w val="0.79149377593360959"/>
          <c:h val="0.85324232081911267"/>
        </c:manualLayout>
      </c:layout>
      <c:scatterChart>
        <c:scatterStyle val="smoothMarker"/>
        <c:ser>
          <c:idx val="0"/>
          <c:order val="0"/>
          <c:tx>
            <c:v>Flush Tank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Hunter!$C$10:$C$57</c:f>
              <c:numCache>
                <c:formatCode>General</c:formatCode>
                <c:ptCount val="48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60</c:v>
                </c:pt>
                <c:pt idx="16">
                  <c:v>70</c:v>
                </c:pt>
                <c:pt idx="17">
                  <c:v>80</c:v>
                </c:pt>
                <c:pt idx="18">
                  <c:v>90</c:v>
                </c:pt>
                <c:pt idx="19">
                  <c:v>100</c:v>
                </c:pt>
                <c:pt idx="20">
                  <c:v>120</c:v>
                </c:pt>
                <c:pt idx="21">
                  <c:v>140</c:v>
                </c:pt>
                <c:pt idx="22">
                  <c:v>160</c:v>
                </c:pt>
                <c:pt idx="23">
                  <c:v>180</c:v>
                </c:pt>
                <c:pt idx="24">
                  <c:v>200</c:v>
                </c:pt>
                <c:pt idx="25">
                  <c:v>225</c:v>
                </c:pt>
                <c:pt idx="26">
                  <c:v>250</c:v>
                </c:pt>
                <c:pt idx="27">
                  <c:v>275</c:v>
                </c:pt>
                <c:pt idx="28">
                  <c:v>300</c:v>
                </c:pt>
                <c:pt idx="29">
                  <c:v>400</c:v>
                </c:pt>
                <c:pt idx="30">
                  <c:v>500</c:v>
                </c:pt>
                <c:pt idx="31">
                  <c:v>750</c:v>
                </c:pt>
                <c:pt idx="32">
                  <c:v>1000</c:v>
                </c:pt>
                <c:pt idx="33">
                  <c:v>1250</c:v>
                </c:pt>
                <c:pt idx="34">
                  <c:v>1500</c:v>
                </c:pt>
                <c:pt idx="35">
                  <c:v>1750</c:v>
                </c:pt>
                <c:pt idx="36">
                  <c:v>2000</c:v>
                </c:pt>
                <c:pt idx="37">
                  <c:v>2250</c:v>
                </c:pt>
                <c:pt idx="38">
                  <c:v>2500</c:v>
                </c:pt>
                <c:pt idx="39">
                  <c:v>2750</c:v>
                </c:pt>
                <c:pt idx="40">
                  <c:v>3000</c:v>
                </c:pt>
                <c:pt idx="41">
                  <c:v>4000</c:v>
                </c:pt>
                <c:pt idx="42">
                  <c:v>5000</c:v>
                </c:pt>
                <c:pt idx="43">
                  <c:v>6000</c:v>
                </c:pt>
                <c:pt idx="44">
                  <c:v>7000</c:v>
                </c:pt>
                <c:pt idx="45">
                  <c:v>8000</c:v>
                </c:pt>
                <c:pt idx="46">
                  <c:v>9000</c:v>
                </c:pt>
                <c:pt idx="47">
                  <c:v>10000</c:v>
                </c:pt>
              </c:numCache>
            </c:numRef>
          </c:xVal>
          <c:yVal>
            <c:numRef>
              <c:f>Hunter!$D$10:$D$57</c:f>
              <c:numCache>
                <c:formatCode>General</c:formatCode>
                <c:ptCount val="48"/>
                <c:pt idx="0">
                  <c:v>0</c:v>
                </c:pt>
                <c:pt idx="1">
                  <c:v>5</c:v>
                </c:pt>
                <c:pt idx="2">
                  <c:v>6.5</c:v>
                </c:pt>
                <c:pt idx="3">
                  <c:v>8</c:v>
                </c:pt>
                <c:pt idx="4">
                  <c:v>9.1999999999999993</c:v>
                </c:pt>
                <c:pt idx="5">
                  <c:v>10.4</c:v>
                </c:pt>
                <c:pt idx="6">
                  <c:v>11.6</c:v>
                </c:pt>
                <c:pt idx="7">
                  <c:v>12.8</c:v>
                </c:pt>
                <c:pt idx="8">
                  <c:v>14</c:v>
                </c:pt>
                <c:pt idx="9">
                  <c:v>17</c:v>
                </c:pt>
                <c:pt idx="10">
                  <c:v>20</c:v>
                </c:pt>
                <c:pt idx="11">
                  <c:v>22.5</c:v>
                </c:pt>
                <c:pt idx="12">
                  <c:v>24.8</c:v>
                </c:pt>
                <c:pt idx="13">
                  <c:v>27</c:v>
                </c:pt>
                <c:pt idx="14">
                  <c:v>29</c:v>
                </c:pt>
                <c:pt idx="15">
                  <c:v>32</c:v>
                </c:pt>
                <c:pt idx="16">
                  <c:v>35</c:v>
                </c:pt>
                <c:pt idx="17">
                  <c:v>38</c:v>
                </c:pt>
                <c:pt idx="18">
                  <c:v>41</c:v>
                </c:pt>
                <c:pt idx="19">
                  <c:v>43.5</c:v>
                </c:pt>
                <c:pt idx="20">
                  <c:v>48</c:v>
                </c:pt>
                <c:pt idx="21">
                  <c:v>52.5</c:v>
                </c:pt>
                <c:pt idx="22">
                  <c:v>57</c:v>
                </c:pt>
                <c:pt idx="23">
                  <c:v>61</c:v>
                </c:pt>
                <c:pt idx="24">
                  <c:v>65</c:v>
                </c:pt>
                <c:pt idx="25">
                  <c:v>70</c:v>
                </c:pt>
                <c:pt idx="26">
                  <c:v>75</c:v>
                </c:pt>
                <c:pt idx="27">
                  <c:v>80</c:v>
                </c:pt>
                <c:pt idx="28">
                  <c:v>85</c:v>
                </c:pt>
                <c:pt idx="29">
                  <c:v>105</c:v>
                </c:pt>
                <c:pt idx="30">
                  <c:v>125</c:v>
                </c:pt>
                <c:pt idx="31">
                  <c:v>170</c:v>
                </c:pt>
                <c:pt idx="32">
                  <c:v>208</c:v>
                </c:pt>
                <c:pt idx="33">
                  <c:v>240</c:v>
                </c:pt>
                <c:pt idx="34">
                  <c:v>267</c:v>
                </c:pt>
                <c:pt idx="35">
                  <c:v>294</c:v>
                </c:pt>
                <c:pt idx="36">
                  <c:v>321</c:v>
                </c:pt>
                <c:pt idx="37">
                  <c:v>348</c:v>
                </c:pt>
                <c:pt idx="38">
                  <c:v>375</c:v>
                </c:pt>
                <c:pt idx="39">
                  <c:v>402</c:v>
                </c:pt>
                <c:pt idx="40">
                  <c:v>432</c:v>
                </c:pt>
                <c:pt idx="41">
                  <c:v>525</c:v>
                </c:pt>
                <c:pt idx="42">
                  <c:v>593</c:v>
                </c:pt>
                <c:pt idx="43">
                  <c:v>643</c:v>
                </c:pt>
                <c:pt idx="44">
                  <c:v>685</c:v>
                </c:pt>
                <c:pt idx="45">
                  <c:v>718</c:v>
                </c:pt>
                <c:pt idx="46">
                  <c:v>745</c:v>
                </c:pt>
                <c:pt idx="47">
                  <c:v>769</c:v>
                </c:pt>
              </c:numCache>
            </c:numRef>
          </c:yVal>
        </c:ser>
        <c:ser>
          <c:idx val="1"/>
          <c:order val="1"/>
          <c:tx>
            <c:v>Flush Valve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Hunter!$C$10:$C$57</c:f>
              <c:numCache>
                <c:formatCode>General</c:formatCode>
                <c:ptCount val="48"/>
                <c:pt idx="0">
                  <c:v>0</c:v>
                </c:pt>
                <c:pt idx="1">
                  <c:v>6</c:v>
                </c:pt>
                <c:pt idx="2">
                  <c:v>8</c:v>
                </c:pt>
                <c:pt idx="3">
                  <c:v>10</c:v>
                </c:pt>
                <c:pt idx="4">
                  <c:v>12</c:v>
                </c:pt>
                <c:pt idx="5">
                  <c:v>14</c:v>
                </c:pt>
                <c:pt idx="6">
                  <c:v>16</c:v>
                </c:pt>
                <c:pt idx="7">
                  <c:v>18</c:v>
                </c:pt>
                <c:pt idx="8">
                  <c:v>20</c:v>
                </c:pt>
                <c:pt idx="9">
                  <c:v>25</c:v>
                </c:pt>
                <c:pt idx="10">
                  <c:v>30</c:v>
                </c:pt>
                <c:pt idx="11">
                  <c:v>35</c:v>
                </c:pt>
                <c:pt idx="12">
                  <c:v>40</c:v>
                </c:pt>
                <c:pt idx="13">
                  <c:v>45</c:v>
                </c:pt>
                <c:pt idx="14">
                  <c:v>50</c:v>
                </c:pt>
                <c:pt idx="15">
                  <c:v>60</c:v>
                </c:pt>
                <c:pt idx="16">
                  <c:v>70</c:v>
                </c:pt>
                <c:pt idx="17">
                  <c:v>80</c:v>
                </c:pt>
                <c:pt idx="18">
                  <c:v>90</c:v>
                </c:pt>
                <c:pt idx="19">
                  <c:v>100</c:v>
                </c:pt>
                <c:pt idx="20">
                  <c:v>120</c:v>
                </c:pt>
                <c:pt idx="21">
                  <c:v>140</c:v>
                </c:pt>
                <c:pt idx="22">
                  <c:v>160</c:v>
                </c:pt>
                <c:pt idx="23">
                  <c:v>180</c:v>
                </c:pt>
                <c:pt idx="24">
                  <c:v>200</c:v>
                </c:pt>
                <c:pt idx="25">
                  <c:v>225</c:v>
                </c:pt>
                <c:pt idx="26">
                  <c:v>250</c:v>
                </c:pt>
                <c:pt idx="27">
                  <c:v>275</c:v>
                </c:pt>
                <c:pt idx="28">
                  <c:v>300</c:v>
                </c:pt>
                <c:pt idx="29">
                  <c:v>400</c:v>
                </c:pt>
                <c:pt idx="30">
                  <c:v>500</c:v>
                </c:pt>
                <c:pt idx="31">
                  <c:v>750</c:v>
                </c:pt>
                <c:pt idx="32">
                  <c:v>1000</c:v>
                </c:pt>
                <c:pt idx="33">
                  <c:v>1250</c:v>
                </c:pt>
                <c:pt idx="34">
                  <c:v>1500</c:v>
                </c:pt>
                <c:pt idx="35">
                  <c:v>1750</c:v>
                </c:pt>
                <c:pt idx="36">
                  <c:v>2000</c:v>
                </c:pt>
                <c:pt idx="37">
                  <c:v>2250</c:v>
                </c:pt>
                <c:pt idx="38">
                  <c:v>2500</c:v>
                </c:pt>
                <c:pt idx="39">
                  <c:v>2750</c:v>
                </c:pt>
                <c:pt idx="40">
                  <c:v>3000</c:v>
                </c:pt>
                <c:pt idx="41">
                  <c:v>4000</c:v>
                </c:pt>
                <c:pt idx="42">
                  <c:v>5000</c:v>
                </c:pt>
                <c:pt idx="43">
                  <c:v>6000</c:v>
                </c:pt>
                <c:pt idx="44">
                  <c:v>7000</c:v>
                </c:pt>
                <c:pt idx="45">
                  <c:v>8000</c:v>
                </c:pt>
                <c:pt idx="46">
                  <c:v>9000</c:v>
                </c:pt>
                <c:pt idx="47">
                  <c:v>10000</c:v>
                </c:pt>
              </c:numCache>
            </c:numRef>
          </c:xVal>
          <c:yVal>
            <c:numRef>
              <c:f>Hunter!$E$10:$E$57</c:f>
              <c:numCache>
                <c:formatCode>General</c:formatCode>
                <c:ptCount val="48"/>
                <c:pt idx="0">
                  <c:v>0</c:v>
                </c:pt>
                <c:pt idx="3">
                  <c:v>27</c:v>
                </c:pt>
                <c:pt idx="4">
                  <c:v>28.6</c:v>
                </c:pt>
                <c:pt idx="5">
                  <c:v>30.2</c:v>
                </c:pt>
                <c:pt idx="6">
                  <c:v>31.8</c:v>
                </c:pt>
                <c:pt idx="7">
                  <c:v>33.4</c:v>
                </c:pt>
                <c:pt idx="8">
                  <c:v>35</c:v>
                </c:pt>
                <c:pt idx="9">
                  <c:v>38</c:v>
                </c:pt>
                <c:pt idx="10">
                  <c:v>41</c:v>
                </c:pt>
                <c:pt idx="11">
                  <c:v>43.8</c:v>
                </c:pt>
                <c:pt idx="12">
                  <c:v>46.5</c:v>
                </c:pt>
                <c:pt idx="13">
                  <c:v>49</c:v>
                </c:pt>
                <c:pt idx="14">
                  <c:v>51.5</c:v>
                </c:pt>
                <c:pt idx="15">
                  <c:v>55</c:v>
                </c:pt>
                <c:pt idx="16">
                  <c:v>58.5</c:v>
                </c:pt>
                <c:pt idx="17">
                  <c:v>62</c:v>
                </c:pt>
                <c:pt idx="18">
                  <c:v>64.8</c:v>
                </c:pt>
                <c:pt idx="19">
                  <c:v>67.5</c:v>
                </c:pt>
                <c:pt idx="20">
                  <c:v>72.5</c:v>
                </c:pt>
                <c:pt idx="21">
                  <c:v>77.5</c:v>
                </c:pt>
                <c:pt idx="22">
                  <c:v>82.5</c:v>
                </c:pt>
                <c:pt idx="23">
                  <c:v>87</c:v>
                </c:pt>
                <c:pt idx="24">
                  <c:v>91.5</c:v>
                </c:pt>
                <c:pt idx="25">
                  <c:v>97</c:v>
                </c:pt>
                <c:pt idx="26">
                  <c:v>101</c:v>
                </c:pt>
                <c:pt idx="27">
                  <c:v>105.5</c:v>
                </c:pt>
                <c:pt idx="28">
                  <c:v>110</c:v>
                </c:pt>
                <c:pt idx="29">
                  <c:v>126</c:v>
                </c:pt>
                <c:pt idx="30">
                  <c:v>142</c:v>
                </c:pt>
                <c:pt idx="31">
                  <c:v>178</c:v>
                </c:pt>
                <c:pt idx="32">
                  <c:v>208</c:v>
                </c:pt>
                <c:pt idx="33">
                  <c:v>240</c:v>
                </c:pt>
                <c:pt idx="34">
                  <c:v>267</c:v>
                </c:pt>
                <c:pt idx="35">
                  <c:v>294</c:v>
                </c:pt>
                <c:pt idx="36">
                  <c:v>321</c:v>
                </c:pt>
                <c:pt idx="37">
                  <c:v>348</c:v>
                </c:pt>
                <c:pt idx="38">
                  <c:v>375</c:v>
                </c:pt>
                <c:pt idx="39">
                  <c:v>402</c:v>
                </c:pt>
                <c:pt idx="40">
                  <c:v>432</c:v>
                </c:pt>
                <c:pt idx="41">
                  <c:v>525</c:v>
                </c:pt>
                <c:pt idx="42">
                  <c:v>593</c:v>
                </c:pt>
                <c:pt idx="43">
                  <c:v>643</c:v>
                </c:pt>
                <c:pt idx="44">
                  <c:v>685</c:v>
                </c:pt>
                <c:pt idx="45">
                  <c:v>718</c:v>
                </c:pt>
                <c:pt idx="46">
                  <c:v>745</c:v>
                </c:pt>
                <c:pt idx="47">
                  <c:v>769</c:v>
                </c:pt>
              </c:numCache>
            </c:numRef>
          </c:yVal>
          <c:smooth val="1"/>
        </c:ser>
        <c:axId val="115649920"/>
        <c:axId val="115652096"/>
      </c:scatterChart>
      <c:valAx>
        <c:axId val="115649920"/>
        <c:scaling>
          <c:orientation val="minMax"/>
          <c:max val="2000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Figure Unit</a:t>
                </a:r>
              </a:p>
            </c:rich>
          </c:tx>
          <c:layout>
            <c:manualLayout>
              <c:xMode val="edge"/>
              <c:yMode val="edge"/>
              <c:x val="0.42634854771784286"/>
              <c:y val="0.9419795221843010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115652096"/>
        <c:crosses val="autoZero"/>
        <c:crossBetween val="midCat"/>
      </c:valAx>
      <c:valAx>
        <c:axId val="115652096"/>
        <c:scaling>
          <c:orientation val="minMax"/>
          <c:max val="3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GPM</a:t>
                </a:r>
              </a:p>
            </c:rich>
          </c:tx>
          <c:layout>
            <c:manualLayout>
              <c:xMode val="edge"/>
              <c:yMode val="edge"/>
              <c:x val="1.1410788381742741E-2"/>
              <c:y val="0.4334470989761092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11564992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0414937759331"/>
          <c:y val="0.42662116040955655"/>
          <c:w val="0.1068464730290456"/>
          <c:h val="7.3378839590443709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h-TH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0322580645161307"/>
          <c:y val="0.11981593780587964"/>
          <c:w val="0.85806451612903278"/>
          <c:h val="0.57603816252826745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92D050"/>
              </a:solidFill>
              <a:ln>
                <a:solidFill>
                  <a:schemeClr val="tx1"/>
                </a:solidFill>
              </a:ln>
            </c:spPr>
          </c:marker>
          <c:xVal>
            <c:numLit>
              <c:formatCode>General</c:formatCode>
              <c:ptCount val="16"/>
              <c:pt idx="0">
                <c:v>0.5</c:v>
              </c:pt>
              <c:pt idx="1">
                <c:v>0.75000000000000044</c:v>
              </c:pt>
              <c:pt idx="2">
                <c:v>1</c:v>
              </c:pt>
              <c:pt idx="3">
                <c:v>1.25</c:v>
              </c:pt>
              <c:pt idx="4">
                <c:v>1.5</c:v>
              </c:pt>
              <c:pt idx="5">
                <c:v>2</c:v>
              </c:pt>
              <c:pt idx="6">
                <c:v>2.5</c:v>
              </c:pt>
              <c:pt idx="7">
                <c:v>3</c:v>
              </c:pt>
              <c:pt idx="8">
                <c:v>4</c:v>
              </c:pt>
              <c:pt idx="9">
                <c:v>6</c:v>
              </c:pt>
              <c:pt idx="10">
                <c:v>8</c:v>
              </c:pt>
              <c:pt idx="11">
                <c:v>10</c:v>
              </c:pt>
              <c:pt idx="12">
                <c:v>12</c:v>
              </c:pt>
              <c:pt idx="13">
                <c:v>14</c:v>
              </c:pt>
              <c:pt idx="14">
                <c:v>16</c:v>
              </c:pt>
              <c:pt idx="15">
                <c:v>20</c:v>
              </c:pt>
            </c:numLit>
          </c:xVal>
          <c:yVal>
            <c:numLit>
              <c:formatCode>General</c:formatCode>
              <c:ptCount val="16"/>
              <c:pt idx="0">
                <c:v>0.64332699731254961</c:v>
              </c:pt>
              <c:pt idx="1">
                <c:v>0.91642753951637579</c:v>
              </c:pt>
              <c:pt idx="2">
                <c:v>1.0178272730824547</c:v>
              </c:pt>
              <c:pt idx="3">
                <c:v>1.2783751942412149</c:v>
              </c:pt>
              <c:pt idx="4">
                <c:v>1.4402969910204169</c:v>
              </c:pt>
              <c:pt idx="5">
                <c:v>1.4563695894142048</c:v>
              </c:pt>
              <c:pt idx="6">
                <c:v>1.592914700980917</c:v>
              </c:pt>
              <c:pt idx="7">
                <c:v>1.9831844076763423</c:v>
              </c:pt>
              <c:pt idx="8">
                <c:v>2.3033305313919712</c:v>
              </c:pt>
              <c:pt idx="9">
                <c:v>2.3682032912177409</c:v>
              </c:pt>
              <c:pt idx="10">
                <c:v>2.3444942673720597</c:v>
              </c:pt>
              <c:pt idx="11">
                <c:v>2.3550531265498398</c:v>
              </c:pt>
              <c:pt idx="12">
                <c:v>2.3576708056274942</c:v>
              </c:pt>
              <c:pt idx="13">
                <c:v>2.3835907465923913</c:v>
              </c:pt>
              <c:pt idx="14">
                <c:v>2.3783101438256744</c:v>
              </c:pt>
              <c:pt idx="15">
                <c:v>2.3907225835968777</c:v>
              </c:pt>
            </c:numLit>
          </c:yVal>
        </c:ser>
        <c:axId val="115602176"/>
        <c:axId val="115604480"/>
      </c:scatterChart>
      <c:valAx>
        <c:axId val="1156021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Pipe</a:t>
                </a:r>
                <a:r>
                  <a:rPr lang="en-US" baseline="0"/>
                  <a:t> size (inch)</a:t>
                </a:r>
                <a:endParaRPr lang="en-US"/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h-TH"/>
          </a:p>
        </c:txPr>
        <c:crossAx val="115604480"/>
        <c:crosses val="autoZero"/>
        <c:crossBetween val="midCat"/>
      </c:valAx>
      <c:valAx>
        <c:axId val="1156044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Design velocity (m/s)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12700">
            <a:solidFill>
              <a:schemeClr val="tx1"/>
            </a:solidFill>
          </a:ln>
        </c:spPr>
        <c:crossAx val="115602176"/>
        <c:crosses val="autoZero"/>
        <c:crossBetween val="midCat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8.7237548621097463E-2"/>
          <c:y val="0.13265339169471385"/>
          <c:w val="0.85783589477412503"/>
          <c:h val="0.5306135667788554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00"/>
              </a:solidFill>
              <a:ln>
                <a:solidFill>
                  <a:schemeClr val="tx1"/>
                </a:solidFill>
              </a:ln>
            </c:spPr>
          </c:marker>
          <c:xVal>
            <c:numLit>
              <c:formatCode>General</c:formatCode>
              <c:ptCount val="16"/>
              <c:pt idx="0">
                <c:v>2</c:v>
              </c:pt>
              <c:pt idx="1">
                <c:v>5</c:v>
              </c:pt>
              <c:pt idx="2">
                <c:v>9</c:v>
              </c:pt>
              <c:pt idx="3">
                <c:v>19</c:v>
              </c:pt>
              <c:pt idx="4">
                <c:v>30</c:v>
              </c:pt>
              <c:pt idx="5">
                <c:v>50</c:v>
              </c:pt>
              <c:pt idx="6">
                <c:v>80</c:v>
              </c:pt>
              <c:pt idx="7">
                <c:v>150</c:v>
              </c:pt>
              <c:pt idx="8">
                <c:v>300</c:v>
              </c:pt>
              <c:pt idx="9">
                <c:v>700</c:v>
              </c:pt>
              <c:pt idx="10">
                <c:v>1200</c:v>
              </c:pt>
              <c:pt idx="11">
                <c:v>1900</c:v>
              </c:pt>
              <c:pt idx="12">
                <c:v>2700</c:v>
              </c:pt>
              <c:pt idx="13">
                <c:v>3300</c:v>
              </c:pt>
              <c:pt idx="14">
                <c:v>4300</c:v>
              </c:pt>
              <c:pt idx="15">
                <c:v>6800</c:v>
              </c:pt>
            </c:numLit>
          </c:xVal>
          <c:yVal>
            <c:numLit>
              <c:formatCode>General</c:formatCode>
              <c:ptCount val="16"/>
              <c:pt idx="0">
                <c:v>4.5446675502827096</c:v>
              </c:pt>
              <c:pt idx="1">
                <c:v>6.0672304259406493</c:v>
              </c:pt>
              <c:pt idx="2">
                <c:v>5.419221419494451</c:v>
              </c:pt>
              <c:pt idx="3">
                <c:v>5.9834170350141758</c:v>
              </c:pt>
              <c:pt idx="4">
                <c:v>6.0630631186856734</c:v>
              </c:pt>
              <c:pt idx="5">
                <c:v>4.5306486975984406</c:v>
              </c:pt>
              <c:pt idx="6">
                <c:v>4.2407397657841432</c:v>
              </c:pt>
              <c:pt idx="7">
                <c:v>5.0032375213758575</c:v>
              </c:pt>
              <c:pt idx="8">
                <c:v>4.7753614447731643</c:v>
              </c:pt>
              <c:pt idx="9">
                <c:v>3.0560087316684137</c:v>
              </c:pt>
              <c:pt idx="10">
                <c:v>2.149182042423019</c:v>
              </c:pt>
              <c:pt idx="11">
                <c:v>1.6476490223070379</c:v>
              </c:pt>
              <c:pt idx="12">
                <c:v>1.337780969441595</c:v>
              </c:pt>
              <c:pt idx="13">
                <c:v>1.2194017943768358</c:v>
              </c:pt>
              <c:pt idx="14">
                <c:v>1.03497856436203</c:v>
              </c:pt>
              <c:pt idx="15">
                <c:v>0.79781106396711454</c:v>
              </c:pt>
            </c:numLit>
          </c:yVal>
        </c:ser>
        <c:axId val="116868992"/>
        <c:axId val="116892032"/>
      </c:scatterChart>
      <c:valAx>
        <c:axId val="116868992"/>
        <c:scaling>
          <c:logBase val="10"/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Flowrate (GPM)</a:t>
                </a:r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12700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th-TH"/>
          </a:p>
        </c:txPr>
        <c:crossAx val="116892032"/>
        <c:crosses val="autoZero"/>
        <c:crossBetween val="midCat"/>
      </c:valAx>
      <c:valAx>
        <c:axId val="11689203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Pressure</a:t>
                </a:r>
                <a:r>
                  <a:rPr lang="en-US" baseline="0"/>
                  <a:t> drop (m/100m)</a:t>
                </a:r>
                <a:endParaRPr lang="en-US"/>
              </a:p>
            </c:rich>
          </c:tx>
          <c:spPr>
            <a:noFill/>
            <a:ln w="25400">
              <a:noFill/>
            </a:ln>
          </c:spPr>
        </c:title>
        <c:numFmt formatCode="General" sourceLinked="1"/>
        <c:majorTickMark val="none"/>
        <c:tickLblPos val="nextTo"/>
        <c:spPr>
          <a:ln w="12700">
            <a:solidFill>
              <a:schemeClr val="tx1"/>
            </a:solidFill>
          </a:ln>
        </c:spPr>
        <c:crossAx val="116868992"/>
        <c:crosses val="autoZero"/>
        <c:crossBetween val="midCat"/>
      </c:valAx>
    </c:plotArea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 orientation="portrait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1" workbookViewId="0"/>
  </sheetViews>
  <pageMargins left="0.75" right="0.75" top="1" bottom="1" header="0.5" footer="0.5"/>
  <pageSetup paperSize="9" orientation="landscape" copies="2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pageSetup paperSize="9" orientation="landscape" horizontalDpi="1200" verticalDpi="1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8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292" y="0"/>
    <xdr:ext cx="9115425" cy="5581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0.07775</cdr:x>
      <cdr:y>0.05275</cdr:y>
    </cdr:from>
    <cdr:to>
      <cdr:x>0.248</cdr:x>
      <cdr:y>0.14325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8724" y="294432"/>
          <a:ext cx="1551901" cy="5051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36576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For sch.</a:t>
          </a:r>
          <a:r>
            <a:rPr lang="th-TH" sz="11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40</a:t>
          </a:r>
          <a:r>
            <a:rPr lang="en-US" sz="11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 steel pipes</a:t>
          </a:r>
          <a:endParaRPr lang="th-TH" sz="1100" b="0" i="0" u="none" strike="noStrike" baseline="0">
            <a:solidFill>
              <a:srgbClr val="000000"/>
            </a:solidFill>
            <a:latin typeface="Browallia New"/>
            <a:cs typeface="Browallia New"/>
          </a:endParaRPr>
        </a:p>
        <a:p xmlns:a="http://schemas.openxmlformats.org/drawingml/2006/main">
          <a:pPr algn="ctr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 (</a:t>
          </a:r>
          <a:r>
            <a:rPr lang="en-US" sz="11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roughness</a:t>
          </a:r>
          <a:r>
            <a:rPr lang="th-TH" sz="11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 0.046 </a:t>
          </a:r>
          <a:r>
            <a:rPr lang="en-US" sz="1100" b="0" i="0" u="none" strike="noStrike" baseline="0">
              <a:solidFill>
                <a:srgbClr val="000000"/>
              </a:solidFill>
              <a:latin typeface="Browallia New"/>
              <a:cs typeface="Browallia New"/>
            </a:rPr>
            <a:t>mm)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13</xdr:row>
      <xdr:rowOff>152400</xdr:rowOff>
    </xdr:from>
    <xdr:to>
      <xdr:col>20</xdr:col>
      <xdr:colOff>419100</xdr:colOff>
      <xdr:row>30</xdr:row>
      <xdr:rowOff>142875</xdr:rowOff>
    </xdr:to>
    <xdr:graphicFrame macro="">
      <xdr:nvGraphicFramePr>
        <xdr:cNvPr id="205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114300</xdr:colOff>
      <xdr:row>31</xdr:row>
      <xdr:rowOff>114300</xdr:rowOff>
    </xdr:from>
    <xdr:to>
      <xdr:col>20</xdr:col>
      <xdr:colOff>419100</xdr:colOff>
      <xdr:row>48</xdr:row>
      <xdr:rowOff>104775</xdr:rowOff>
    </xdr:to>
    <xdr:graphicFrame macro="">
      <xdr:nvGraphicFramePr>
        <xdr:cNvPr id="205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81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816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40</xdr:row>
      <xdr:rowOff>19050</xdr:rowOff>
    </xdr:from>
    <xdr:to>
      <xdr:col>10</xdr:col>
      <xdr:colOff>533400</xdr:colOff>
      <xdr:row>52</xdr:row>
      <xdr:rowOff>142875</xdr:rowOff>
    </xdr:to>
    <xdr:graphicFrame macro="">
      <xdr:nvGraphicFramePr>
        <xdr:cNvPr id="399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581025</xdr:colOff>
      <xdr:row>27</xdr:row>
      <xdr:rowOff>142875</xdr:rowOff>
    </xdr:from>
    <xdr:to>
      <xdr:col>10</xdr:col>
      <xdr:colOff>523875</xdr:colOff>
      <xdr:row>39</xdr:row>
      <xdr:rowOff>66675</xdr:rowOff>
    </xdr:to>
    <xdr:graphicFrame macro="">
      <xdr:nvGraphicFramePr>
        <xdr:cNvPr id="3997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47"/>
  <sheetViews>
    <sheetView tabSelected="1" zoomScale="145" zoomScaleNormal="145" workbookViewId="0">
      <selection activeCell="F6" sqref="F6"/>
    </sheetView>
  </sheetViews>
  <sheetFormatPr defaultRowHeight="12.75"/>
  <cols>
    <col min="2" max="2" width="8.7109375" customWidth="1"/>
    <col min="5" max="5" width="9.85546875" customWidth="1"/>
    <col min="6" max="6" width="10.28515625" customWidth="1"/>
    <col min="7" max="7" width="9.7109375" customWidth="1"/>
    <col min="10" max="10" width="12.7109375" customWidth="1"/>
    <col min="11" max="11" width="13.85546875" customWidth="1"/>
    <col min="12" max="12" width="12.140625" customWidth="1"/>
    <col min="14" max="14" width="10" customWidth="1"/>
    <col min="17" max="17" width="13.28515625" customWidth="1"/>
    <col min="18" max="18" width="10.85546875" customWidth="1"/>
    <col min="19" max="19" width="9.140625" customWidth="1"/>
    <col min="21" max="21" width="9.5703125" bestFit="1" customWidth="1"/>
  </cols>
  <sheetData>
    <row r="1" spans="2:22">
      <c r="B1" s="9" t="s">
        <v>18</v>
      </c>
    </row>
    <row r="3" spans="2:22" ht="13.5" thickBot="1">
      <c r="B3" s="9" t="s">
        <v>28</v>
      </c>
      <c r="J3" s="9" t="s">
        <v>39</v>
      </c>
    </row>
    <row r="4" spans="2:22" ht="17.25" customHeight="1" thickBot="1">
      <c r="B4" s="66" t="s">
        <v>25</v>
      </c>
      <c r="C4" s="67"/>
      <c r="D4" s="67"/>
      <c r="E4" s="68" t="s">
        <v>27</v>
      </c>
      <c r="F4" s="68" t="s">
        <v>26</v>
      </c>
      <c r="G4" s="69"/>
      <c r="J4" s="82" t="s">
        <v>40</v>
      </c>
      <c r="K4" s="83" t="s">
        <v>93</v>
      </c>
      <c r="L4" s="211" t="s">
        <v>94</v>
      </c>
      <c r="M4" s="84"/>
      <c r="N4" s="85"/>
    </row>
    <row r="5" spans="2:22">
      <c r="B5" s="42" t="s">
        <v>29</v>
      </c>
      <c r="C5" s="43"/>
      <c r="D5" s="44"/>
      <c r="E5" s="2">
        <v>150</v>
      </c>
      <c r="F5" s="4">
        <v>1.5E-3</v>
      </c>
      <c r="G5" s="45" t="s">
        <v>34</v>
      </c>
      <c r="J5" s="79" t="s">
        <v>95</v>
      </c>
      <c r="K5" s="80">
        <v>7.9799999999999999E-4</v>
      </c>
      <c r="L5" s="43">
        <v>1000</v>
      </c>
      <c r="M5" s="43"/>
      <c r="N5" s="81"/>
    </row>
    <row r="6" spans="2:22">
      <c r="B6" s="34" t="s">
        <v>32</v>
      </c>
      <c r="C6" s="31"/>
      <c r="D6" s="32"/>
      <c r="E6" s="1"/>
      <c r="F6" s="33">
        <v>4.5999999999999999E-2</v>
      </c>
      <c r="G6" s="35"/>
      <c r="J6" s="73" t="s">
        <v>41</v>
      </c>
      <c r="K6" s="71"/>
      <c r="L6" s="31"/>
      <c r="M6" s="31"/>
      <c r="N6" s="74"/>
    </row>
    <row r="7" spans="2:22">
      <c r="B7" s="34" t="s">
        <v>30</v>
      </c>
      <c r="C7" s="31"/>
      <c r="D7" s="32"/>
      <c r="E7" s="1">
        <v>100</v>
      </c>
      <c r="F7" s="33">
        <v>0.26</v>
      </c>
      <c r="G7" s="35"/>
      <c r="J7" s="75"/>
      <c r="K7" s="72"/>
      <c r="L7" s="31"/>
      <c r="M7" s="31"/>
      <c r="N7" s="74"/>
    </row>
    <row r="8" spans="2:22" ht="13.5" thickBot="1">
      <c r="B8" s="36" t="s">
        <v>31</v>
      </c>
      <c r="C8" s="37"/>
      <c r="D8" s="38"/>
      <c r="E8" s="39"/>
      <c r="F8" s="40" t="s">
        <v>33</v>
      </c>
      <c r="G8" s="41" t="s">
        <v>35</v>
      </c>
      <c r="J8" s="76"/>
      <c r="K8" s="77"/>
      <c r="L8" s="37"/>
      <c r="M8" s="37"/>
      <c r="N8" s="78"/>
    </row>
    <row r="10" spans="2:22" ht="13.5" thickBot="1">
      <c r="B10" s="9" t="s">
        <v>43</v>
      </c>
      <c r="P10" s="103"/>
      <c r="Q10" s="103"/>
      <c r="R10" s="103"/>
      <c r="S10" s="103"/>
      <c r="T10" s="103"/>
      <c r="U10" s="103"/>
      <c r="V10" s="103"/>
    </row>
    <row r="11" spans="2:22">
      <c r="B11" s="88" t="s">
        <v>44</v>
      </c>
      <c r="C11" s="104">
        <v>1</v>
      </c>
      <c r="D11" s="105">
        <f>D12/3.785</f>
        <v>0.26420079260237778</v>
      </c>
      <c r="E11" s="106">
        <f>4.4*E13</f>
        <v>4.4000000000000004</v>
      </c>
      <c r="F11" s="123">
        <f>F12/3.785</f>
        <v>264.20079260237782</v>
      </c>
      <c r="G11" s="145">
        <f>G12/3.785</f>
        <v>15852.047556142668</v>
      </c>
      <c r="H11" s="148">
        <v>15852.047556142668</v>
      </c>
      <c r="J11" s="88" t="s">
        <v>47</v>
      </c>
      <c r="K11" s="104">
        <v>1</v>
      </c>
      <c r="L11" s="114">
        <f>L12*9.81*1000*0.00001</f>
        <v>9.8100000000000007E-2</v>
      </c>
      <c r="M11" s="114">
        <f>M12*9.81*1000*0.00001</f>
        <v>2.990124359912217E-2</v>
      </c>
      <c r="N11" s="115">
        <f>N14/14.7</f>
        <v>6.8027210884353748E-2</v>
      </c>
      <c r="P11" s="101"/>
      <c r="Q11" s="101"/>
      <c r="R11" s="101"/>
      <c r="S11" s="101"/>
      <c r="T11" s="113"/>
      <c r="U11" s="125"/>
      <c r="V11" s="103"/>
    </row>
    <row r="12" spans="2:22">
      <c r="B12" s="107" t="s">
        <v>45</v>
      </c>
      <c r="C12" s="91">
        <f>C11*3.785</f>
        <v>3.7850000000000001</v>
      </c>
      <c r="D12" s="93">
        <v>1</v>
      </c>
      <c r="E12" s="86">
        <f>E11*3.785</f>
        <v>16.654000000000003</v>
      </c>
      <c r="F12" s="122">
        <f>F14*1000</f>
        <v>1000</v>
      </c>
      <c r="G12" s="72">
        <f>G14*1000</f>
        <v>60000</v>
      </c>
      <c r="H12" s="149">
        <v>60000</v>
      </c>
      <c r="J12" s="107" t="s">
        <v>48</v>
      </c>
      <c r="K12" s="87">
        <f>K11/9.81*100</f>
        <v>10.19367991845056</v>
      </c>
      <c r="L12" s="98">
        <v>1</v>
      </c>
      <c r="M12" s="96">
        <f>M13/3.2808</f>
        <v>0.30480370641306997</v>
      </c>
      <c r="N12" s="116">
        <f>N11/9.81*100</f>
        <v>0.69344761350003814</v>
      </c>
      <c r="P12" s="101"/>
      <c r="Q12" s="101"/>
      <c r="R12" s="101"/>
      <c r="S12" s="121"/>
      <c r="T12" s="126"/>
      <c r="U12" s="103"/>
      <c r="V12" s="103"/>
    </row>
    <row r="13" spans="2:22">
      <c r="B13" s="118" t="s">
        <v>51</v>
      </c>
      <c r="C13" s="91">
        <f>C11/4.4</f>
        <v>0.22727272727272727</v>
      </c>
      <c r="D13" s="91">
        <f>D12*60/1000</f>
        <v>0.06</v>
      </c>
      <c r="E13" s="93">
        <v>1</v>
      </c>
      <c r="F13" s="91">
        <f>F14*60</f>
        <v>60</v>
      </c>
      <c r="G13" s="72">
        <f>G15*3600</f>
        <v>3600</v>
      </c>
      <c r="H13" s="149">
        <v>3600</v>
      </c>
      <c r="J13" s="107" t="s">
        <v>49</v>
      </c>
      <c r="K13" s="87">
        <f>K12*3.2808</f>
        <v>33.443425076452598</v>
      </c>
      <c r="L13" s="96">
        <f>L12*3.2808</f>
        <v>3.2808000000000002</v>
      </c>
      <c r="M13" s="98">
        <v>1</v>
      </c>
      <c r="N13" s="117">
        <f>N12*3.2808</f>
        <v>2.2750629303709253</v>
      </c>
      <c r="P13" s="127"/>
      <c r="Q13" s="101"/>
      <c r="R13" s="101"/>
      <c r="S13" s="101"/>
      <c r="T13" s="101"/>
      <c r="U13" s="103"/>
      <c r="V13" s="103"/>
    </row>
    <row r="14" spans="2:22">
      <c r="B14" s="118" t="s">
        <v>53</v>
      </c>
      <c r="C14" s="91">
        <f>C13/60</f>
        <v>3.7878787878787876E-3</v>
      </c>
      <c r="D14" s="91">
        <f>D13/60</f>
        <v>1E-3</v>
      </c>
      <c r="E14" s="99">
        <f>E13/60</f>
        <v>1.6666666666666666E-2</v>
      </c>
      <c r="F14" s="93">
        <v>1</v>
      </c>
      <c r="G14" s="72">
        <f>G15*60</f>
        <v>60</v>
      </c>
      <c r="H14" s="149">
        <v>60</v>
      </c>
      <c r="J14" s="107" t="s">
        <v>50</v>
      </c>
      <c r="K14" s="33">
        <v>14.7</v>
      </c>
      <c r="L14" s="100">
        <f>14.7*L11</f>
        <v>1.44207</v>
      </c>
      <c r="M14" s="91">
        <v>14.7</v>
      </c>
      <c r="N14" s="109">
        <v>1</v>
      </c>
      <c r="P14" s="127"/>
      <c r="Q14" s="101"/>
      <c r="R14" s="101"/>
      <c r="S14" s="120"/>
      <c r="T14" s="101"/>
      <c r="U14" s="103"/>
      <c r="V14" s="103"/>
    </row>
    <row r="15" spans="2:22">
      <c r="B15" s="118" t="s">
        <v>52</v>
      </c>
      <c r="C15" s="92">
        <f>C13/3600</f>
        <v>6.3131313131313131E-5</v>
      </c>
      <c r="D15" s="91">
        <f>D13/3600</f>
        <v>1.6666666666666667E-5</v>
      </c>
      <c r="E15" s="33">
        <f>E13/3600</f>
        <v>2.7777777777777778E-4</v>
      </c>
      <c r="F15" s="99">
        <f>F14/60</f>
        <v>1.6666666666666666E-2</v>
      </c>
      <c r="G15" s="146">
        <v>1</v>
      </c>
      <c r="H15" s="149">
        <v>1</v>
      </c>
      <c r="J15" s="107"/>
      <c r="K15" s="33"/>
      <c r="L15" s="91"/>
      <c r="M15" s="91"/>
      <c r="N15" s="108"/>
      <c r="P15" s="127"/>
      <c r="Q15" s="102"/>
      <c r="R15" s="101"/>
      <c r="S15" s="101"/>
      <c r="T15" s="120"/>
      <c r="U15" s="103"/>
      <c r="V15" s="103"/>
    </row>
    <row r="16" spans="2:22" ht="13.5" thickBot="1">
      <c r="B16" s="124" t="s">
        <v>46</v>
      </c>
      <c r="C16" s="94">
        <f>C12/1000*3.2808^3</f>
        <v>0.13366113746395394</v>
      </c>
      <c r="D16" s="94">
        <f>D12/1000*3.2808^3</f>
        <v>3.5313378458112006E-2</v>
      </c>
      <c r="E16" s="90">
        <f>E12/1000*3.2808^3</f>
        <v>0.58810900484139739</v>
      </c>
      <c r="F16" s="89">
        <f>F12/1000*3.2808^3</f>
        <v>35.313378458112005</v>
      </c>
      <c r="G16" s="147">
        <f>G14*3.2808^3</f>
        <v>2118.8027074867205</v>
      </c>
      <c r="H16" s="150">
        <v>2118.8027074867205</v>
      </c>
      <c r="J16" s="110"/>
      <c r="K16" s="39"/>
      <c r="L16" s="111"/>
      <c r="M16" s="111"/>
      <c r="N16" s="97"/>
      <c r="P16" s="103"/>
      <c r="Q16" s="101"/>
      <c r="R16" s="101"/>
      <c r="S16" s="101"/>
      <c r="T16" s="120"/>
      <c r="U16" s="119"/>
      <c r="V16" s="125"/>
    </row>
    <row r="17" spans="2:22">
      <c r="P17" s="103"/>
      <c r="Q17" s="103"/>
      <c r="R17" s="103"/>
      <c r="S17" s="103"/>
      <c r="T17" s="103"/>
      <c r="U17" s="103"/>
      <c r="V17" s="103"/>
    </row>
    <row r="18" spans="2:22">
      <c r="P18" s="103"/>
      <c r="Q18" s="103"/>
      <c r="R18" s="103"/>
      <c r="S18" s="103"/>
      <c r="T18" s="103"/>
      <c r="U18" s="103"/>
      <c r="V18" s="103"/>
    </row>
    <row r="19" spans="2:22">
      <c r="B19" s="9" t="s">
        <v>89</v>
      </c>
      <c r="P19" s="103"/>
      <c r="Q19" s="101"/>
      <c r="R19" s="101"/>
      <c r="S19" s="112"/>
      <c r="T19" s="112"/>
      <c r="U19" s="112"/>
      <c r="V19" s="103"/>
    </row>
    <row r="20" spans="2:22" ht="13.5" thickBot="1">
      <c r="B20" t="s">
        <v>0</v>
      </c>
      <c r="D20" s="19">
        <v>140</v>
      </c>
      <c r="E20" t="s">
        <v>1</v>
      </c>
      <c r="J20" s="70" t="s">
        <v>42</v>
      </c>
      <c r="P20" s="103"/>
      <c r="Q20" s="101"/>
      <c r="R20" s="113"/>
      <c r="S20" s="126"/>
      <c r="T20" s="113"/>
      <c r="U20" s="113"/>
      <c r="V20" s="103"/>
    </row>
    <row r="21" spans="2:22">
      <c r="B21" s="46" t="s">
        <v>2</v>
      </c>
      <c r="C21" s="47" t="s">
        <v>3</v>
      </c>
      <c r="D21" s="47" t="s">
        <v>8</v>
      </c>
      <c r="E21" s="48" t="s">
        <v>5</v>
      </c>
      <c r="F21" s="213" t="s">
        <v>24</v>
      </c>
      <c r="G21" s="214"/>
      <c r="H21" s="215"/>
      <c r="J21" s="15" t="s">
        <v>17</v>
      </c>
      <c r="K21" s="15" t="s">
        <v>20</v>
      </c>
      <c r="L21" s="15" t="s">
        <v>5</v>
      </c>
      <c r="P21" s="103"/>
      <c r="Q21" s="101"/>
      <c r="R21" s="113"/>
      <c r="S21" s="113"/>
      <c r="T21" s="126"/>
      <c r="U21" s="113"/>
      <c r="V21" s="103"/>
    </row>
    <row r="22" spans="2:22" ht="13.5" thickBot="1">
      <c r="B22" s="128" t="s">
        <v>45</v>
      </c>
      <c r="C22" s="49" t="s">
        <v>4</v>
      </c>
      <c r="D22" s="49" t="s">
        <v>9</v>
      </c>
      <c r="E22" s="49" t="s">
        <v>6</v>
      </c>
      <c r="F22" s="50" t="s">
        <v>7</v>
      </c>
      <c r="G22" s="209" t="s">
        <v>91</v>
      </c>
      <c r="H22" s="61" t="s">
        <v>10</v>
      </c>
      <c r="J22" s="16" t="s">
        <v>19</v>
      </c>
      <c r="K22" s="16" t="s">
        <v>9</v>
      </c>
      <c r="L22" s="16" t="s">
        <v>6</v>
      </c>
      <c r="P22" s="103"/>
      <c r="Q22" s="101"/>
      <c r="R22" s="101"/>
      <c r="S22" s="112"/>
      <c r="T22" s="101"/>
      <c r="U22" s="101"/>
      <c r="V22" s="103"/>
    </row>
    <row r="23" spans="2:22" ht="13.5" thickBot="1">
      <c r="B23" s="95">
        <v>300</v>
      </c>
      <c r="C23" s="62">
        <v>4</v>
      </c>
      <c r="D23" s="62">
        <v>100</v>
      </c>
      <c r="E23" s="63">
        <f>L23</f>
        <v>0.60854175201901428</v>
      </c>
      <c r="F23" s="64">
        <f>(151*J23/coeff_c/K23^2.63)^1.85/10</f>
        <v>0.41892204573540964</v>
      </c>
      <c r="G23" s="64">
        <f>F23*D23/100</f>
        <v>0.41892204573540964</v>
      </c>
      <c r="H23" s="65">
        <f>G23/10.2</f>
        <v>4.1070788797589186E-2</v>
      </c>
      <c r="J23" s="6">
        <f>B23/VLOOKUP($B$22,$B$11:$G$16,6)</f>
        <v>5.0000000000000001E-3</v>
      </c>
      <c r="K23" s="6">
        <f>VLOOKUP(C23,PIPESIZE,2,FALSE)*0.0254</f>
        <v>0.10226039999999999</v>
      </c>
      <c r="L23" s="6">
        <f>J23/22*7/K23^2*4</f>
        <v>0.60854175201901428</v>
      </c>
      <c r="P23" s="103"/>
      <c r="Q23" s="101"/>
      <c r="R23" s="101"/>
      <c r="S23" s="101"/>
      <c r="T23" s="101"/>
      <c r="U23" s="101"/>
      <c r="V23" s="103"/>
    </row>
    <row r="24" spans="2:22">
      <c r="P24" s="103"/>
      <c r="Q24" s="103"/>
      <c r="R24" s="103"/>
      <c r="S24" s="103"/>
      <c r="T24" s="103"/>
      <c r="U24" s="103"/>
      <c r="V24" s="103"/>
    </row>
    <row r="25" spans="2:22">
      <c r="B25" s="9" t="s">
        <v>14</v>
      </c>
    </row>
    <row r="26" spans="2:22">
      <c r="B26" t="s">
        <v>15</v>
      </c>
      <c r="D26" s="19">
        <v>4.5999999999999999E-2</v>
      </c>
      <c r="E26" t="s">
        <v>16</v>
      </c>
    </row>
    <row r="27" spans="2:22">
      <c r="B27" t="s">
        <v>79</v>
      </c>
      <c r="D27" s="19">
        <v>996</v>
      </c>
      <c r="E27" t="s">
        <v>80</v>
      </c>
    </row>
    <row r="28" spans="2:22" ht="13.5" thickBot="1">
      <c r="B28" s="70" t="s">
        <v>81</v>
      </c>
      <c r="D28" s="20">
        <v>7.9799999999999999E-4</v>
      </c>
      <c r="E28" s="70" t="s">
        <v>82</v>
      </c>
      <c r="F28" s="70" t="s">
        <v>38</v>
      </c>
      <c r="K28" s="70" t="s">
        <v>42</v>
      </c>
    </row>
    <row r="29" spans="2:22">
      <c r="B29" s="46" t="s">
        <v>2</v>
      </c>
      <c r="C29" s="47" t="s">
        <v>74</v>
      </c>
      <c r="D29" s="47" t="s">
        <v>8</v>
      </c>
      <c r="E29" s="48" t="s">
        <v>5</v>
      </c>
      <c r="F29" s="216" t="s">
        <v>83</v>
      </c>
      <c r="G29" s="216"/>
      <c r="H29" s="216" t="s">
        <v>84</v>
      </c>
      <c r="I29" s="217"/>
      <c r="K29" s="15" t="s">
        <v>17</v>
      </c>
      <c r="L29" s="15" t="s">
        <v>20</v>
      </c>
      <c r="M29" s="15" t="s">
        <v>5</v>
      </c>
      <c r="N29" s="15" t="s">
        <v>22</v>
      </c>
      <c r="O29" s="15" t="s">
        <v>21</v>
      </c>
      <c r="P29" s="15" t="s">
        <v>23</v>
      </c>
      <c r="Q29" s="15" t="s">
        <v>24</v>
      </c>
      <c r="R29" s="15" t="s">
        <v>24</v>
      </c>
    </row>
    <row r="30" spans="2:22" ht="13.5" thickBot="1">
      <c r="B30" s="128" t="s">
        <v>45</v>
      </c>
      <c r="C30" s="49" t="s">
        <v>75</v>
      </c>
      <c r="D30" s="49" t="s">
        <v>9</v>
      </c>
      <c r="E30" s="49" t="s">
        <v>6</v>
      </c>
      <c r="F30" s="206" t="s">
        <v>96</v>
      </c>
      <c r="G30" s="205" t="s">
        <v>85</v>
      </c>
      <c r="H30" s="209" t="s">
        <v>92</v>
      </c>
      <c r="I30" s="61" t="s">
        <v>10</v>
      </c>
      <c r="K30" s="16" t="s">
        <v>19</v>
      </c>
      <c r="L30" s="16" t="s">
        <v>9</v>
      </c>
      <c r="M30" s="16" t="s">
        <v>6</v>
      </c>
      <c r="N30" s="16"/>
      <c r="O30" s="16"/>
      <c r="P30" s="16"/>
      <c r="Q30" s="210" t="s">
        <v>96</v>
      </c>
      <c r="R30" s="16" t="s">
        <v>78</v>
      </c>
    </row>
    <row r="31" spans="2:22">
      <c r="B31" s="160">
        <v>8</v>
      </c>
      <c r="C31" s="51">
        <v>15</v>
      </c>
      <c r="D31" s="51">
        <v>100</v>
      </c>
      <c r="E31" s="52">
        <f t="shared" ref="E31:E46" si="0">M31</f>
        <v>0.67987001036993333</v>
      </c>
      <c r="F31" s="53">
        <f>Q31</f>
        <v>5.009373675587967</v>
      </c>
      <c r="G31" s="203">
        <f>R31</f>
        <v>0.49141955757517963</v>
      </c>
      <c r="H31" s="53">
        <f t="shared" ref="H31:H46" si="1">F31*D31/100</f>
        <v>5.009373675587967</v>
      </c>
      <c r="I31" s="54">
        <f>R31/100*D31</f>
        <v>0.49141955757517963</v>
      </c>
      <c r="K31" s="6">
        <f t="shared" ref="K31:K47" si="2">B31/VLOOKUP($B$30,$B$11:$H$16,7)</f>
        <v>1.3333333333333334E-4</v>
      </c>
      <c r="L31" s="202">
        <f t="shared" ref="L31:L47" si="3">VLOOKUP(C31,PIPESIZE,2,FALSE)</f>
        <v>1.5798799999999998E-2</v>
      </c>
      <c r="M31" s="6">
        <f>K31/22*7/L31^2*4</f>
        <v>0.67987001036993333</v>
      </c>
      <c r="N31" s="6">
        <f t="shared" ref="N31:N47" si="4">roughness/1000/L31</f>
        <v>2.9116135402688817E-3</v>
      </c>
      <c r="O31" s="17">
        <f t="shared" ref="O31:O46" si="5">M31*L31*$D$27/viscosity</f>
        <v>13406.222805204476</v>
      </c>
      <c r="P31" s="6">
        <f>IF(O31&gt;2400,0.25/(LOG(N31/3.7+5.74/O31^0.9))^2,64/O31)</f>
        <v>3.3728375646038408E-2</v>
      </c>
      <c r="Q31" s="6">
        <f>R31*100000/9.81/1000</f>
        <v>5.009373675587967</v>
      </c>
      <c r="R31" s="1">
        <f>P31*100/L31*M31^2/2*$D$27/100000</f>
        <v>0.49141955757517963</v>
      </c>
    </row>
    <row r="32" spans="2:22">
      <c r="B32" s="161">
        <v>20</v>
      </c>
      <c r="C32" s="18">
        <v>20</v>
      </c>
      <c r="D32" s="18">
        <v>100</v>
      </c>
      <c r="E32" s="6">
        <f t="shared" si="0"/>
        <v>0.96848352921149361</v>
      </c>
      <c r="F32" s="7">
        <f t="shared" ref="F32:F46" si="6">Q32</f>
        <v>6.6985811072203285</v>
      </c>
      <c r="G32" s="1">
        <f t="shared" ref="G32:G46" si="7">R32</f>
        <v>0.65713080661831424</v>
      </c>
      <c r="H32" s="7">
        <f t="shared" si="1"/>
        <v>6.6985811072203285</v>
      </c>
      <c r="I32" s="55">
        <f t="shared" ref="I32" si="8">H32/10.2</f>
        <v>0.65672363796277733</v>
      </c>
      <c r="K32" s="6">
        <f t="shared" si="2"/>
        <v>3.3333333333333332E-4</v>
      </c>
      <c r="L32" s="202">
        <f t="shared" si="3"/>
        <v>2.09296E-2</v>
      </c>
      <c r="M32" s="6">
        <f t="shared" ref="M32:M46" si="9">K32/22*7/L32^2*4</f>
        <v>0.96848352921149361</v>
      </c>
      <c r="N32" s="6">
        <f t="shared" ref="N32:N46" si="10">roughness/1000/L32</f>
        <v>2.1978442015136456E-3</v>
      </c>
      <c r="O32" s="17">
        <f t="shared" si="5"/>
        <v>25299.364638462328</v>
      </c>
      <c r="P32" s="6">
        <f t="shared" ref="P32:P46" si="11">IF(O32&gt;2400,0.25/(LOG(N32/3.7+5.74/O32^0.9))^2,64/O32)</f>
        <v>2.9444144122113103E-2</v>
      </c>
      <c r="Q32" s="6">
        <f t="shared" ref="Q32:Q46" si="12">R32*100000/9.81/1000</f>
        <v>6.6985811072203285</v>
      </c>
      <c r="R32" s="1">
        <f t="shared" ref="R32:R46" si="13">P32*100/L32*M32^2/2*$D$27/100000</f>
        <v>0.65713080661831424</v>
      </c>
    </row>
    <row r="33" spans="2:18">
      <c r="B33" s="161">
        <v>35</v>
      </c>
      <c r="C33" s="18">
        <v>25</v>
      </c>
      <c r="D33" s="18">
        <v>100</v>
      </c>
      <c r="E33" s="6">
        <f t="shared" si="0"/>
        <v>1.045764114424951</v>
      </c>
      <c r="F33" s="7">
        <f t="shared" si="6"/>
        <v>5.6789514165414117</v>
      </c>
      <c r="G33" s="1">
        <f t="shared" si="7"/>
        <v>0.55710513396271255</v>
      </c>
      <c r="H33" s="7">
        <f t="shared" si="1"/>
        <v>5.6789514165414117</v>
      </c>
      <c r="I33" s="55">
        <f t="shared" ref="I33:I46" si="14">H33/10.2</f>
        <v>0.55675994279817764</v>
      </c>
      <c r="K33" s="6">
        <f t="shared" si="2"/>
        <v>5.8333333333333338E-4</v>
      </c>
      <c r="L33" s="202">
        <f t="shared" si="3"/>
        <v>2.6644599999999997E-2</v>
      </c>
      <c r="M33" s="6">
        <f t="shared" si="9"/>
        <v>1.045764114424951</v>
      </c>
      <c r="N33" s="6">
        <f t="shared" si="10"/>
        <v>1.7264286196827876E-3</v>
      </c>
      <c r="O33" s="17">
        <f t="shared" si="5"/>
        <v>34777.582277085487</v>
      </c>
      <c r="P33" s="6">
        <f t="shared" si="11"/>
        <v>2.7255211282062507E-2</v>
      </c>
      <c r="Q33" s="6">
        <f t="shared" si="12"/>
        <v>5.6789514165414117</v>
      </c>
      <c r="R33" s="1">
        <f t="shared" si="13"/>
        <v>0.55710513396271255</v>
      </c>
    </row>
    <row r="34" spans="2:18">
      <c r="B34" s="161">
        <v>72</v>
      </c>
      <c r="C34" s="18">
        <v>32</v>
      </c>
      <c r="D34" s="18">
        <v>100</v>
      </c>
      <c r="E34" s="6">
        <f t="shared" si="0"/>
        <v>1.279886170970832</v>
      </c>
      <c r="F34" s="7">
        <f t="shared" si="6"/>
        <v>5.9737996310358374</v>
      </c>
      <c r="G34" s="1">
        <f t="shared" si="7"/>
        <v>0.5860297438046157</v>
      </c>
      <c r="H34" s="7">
        <f t="shared" si="1"/>
        <v>5.9737996310358366</v>
      </c>
      <c r="I34" s="55">
        <f t="shared" si="14"/>
        <v>0.58566663049370948</v>
      </c>
      <c r="K34" s="6">
        <f t="shared" si="2"/>
        <v>1.1999999999999999E-3</v>
      </c>
      <c r="L34" s="202">
        <f t="shared" si="3"/>
        <v>3.4543999999999998E-2</v>
      </c>
      <c r="M34" s="6">
        <f t="shared" si="9"/>
        <v>1.279886170970832</v>
      </c>
      <c r="N34" s="6">
        <f t="shared" si="10"/>
        <v>1.3316350162112089E-3</v>
      </c>
      <c r="O34" s="17">
        <f t="shared" si="5"/>
        <v>55182.378870246059</v>
      </c>
      <c r="P34" s="6">
        <f t="shared" si="11"/>
        <v>2.4815341041015418E-2</v>
      </c>
      <c r="Q34" s="6">
        <f t="shared" si="12"/>
        <v>5.9737996310358374</v>
      </c>
      <c r="R34" s="1">
        <f t="shared" si="13"/>
        <v>0.5860297438046157</v>
      </c>
    </row>
    <row r="35" spans="2:18">
      <c r="B35" s="161">
        <v>114</v>
      </c>
      <c r="C35" s="18">
        <v>40</v>
      </c>
      <c r="D35" s="18">
        <v>100</v>
      </c>
      <c r="E35" s="6">
        <f t="shared" si="0"/>
        <v>1.4460049051195738</v>
      </c>
      <c r="F35" s="7">
        <f t="shared" si="6"/>
        <v>6.0851987203771412</v>
      </c>
      <c r="G35" s="1">
        <f t="shared" si="7"/>
        <v>0.59695799446899767</v>
      </c>
      <c r="H35" s="7">
        <f t="shared" si="1"/>
        <v>6.0851987203771412</v>
      </c>
      <c r="I35" s="55">
        <f t="shared" si="14"/>
        <v>0.59658810984089627</v>
      </c>
      <c r="K35" s="6">
        <f t="shared" si="2"/>
        <v>1.9E-3</v>
      </c>
      <c r="L35" s="202">
        <f t="shared" si="3"/>
        <v>4.0894E-2</v>
      </c>
      <c r="M35" s="6">
        <f t="shared" si="9"/>
        <v>1.4460049051195738</v>
      </c>
      <c r="N35" s="6">
        <f t="shared" si="10"/>
        <v>1.1248593925759281E-3</v>
      </c>
      <c r="O35" s="17">
        <f t="shared" si="5"/>
        <v>73805.003623558907</v>
      </c>
      <c r="P35" s="6">
        <f t="shared" si="11"/>
        <v>2.3444149934619931E-2</v>
      </c>
      <c r="Q35" s="6">
        <f t="shared" si="12"/>
        <v>6.0851987203771412</v>
      </c>
      <c r="R35" s="1">
        <f t="shared" si="13"/>
        <v>0.59695799446899767</v>
      </c>
    </row>
    <row r="36" spans="2:18">
      <c r="B36" s="161">
        <v>190</v>
      </c>
      <c r="C36" s="18">
        <v>50</v>
      </c>
      <c r="D36" s="18">
        <v>100</v>
      </c>
      <c r="E36" s="6">
        <f t="shared" si="0"/>
        <v>1.4621411994118834</v>
      </c>
      <c r="F36" s="7">
        <f t="shared" si="6"/>
        <v>4.5472168365492909</v>
      </c>
      <c r="G36" s="1">
        <f t="shared" si="7"/>
        <v>0.44608197166548547</v>
      </c>
      <c r="H36" s="7">
        <f t="shared" si="1"/>
        <v>4.5472168365492909</v>
      </c>
      <c r="I36" s="55">
        <f t="shared" si="14"/>
        <v>0.44580557221071482</v>
      </c>
      <c r="K36" s="6">
        <f t="shared" si="2"/>
        <v>3.1666666666666666E-3</v>
      </c>
      <c r="L36" s="202">
        <f t="shared" si="3"/>
        <v>5.2501800000000001E-2</v>
      </c>
      <c r="M36" s="6">
        <f t="shared" si="9"/>
        <v>1.4621411994118834</v>
      </c>
      <c r="N36" s="6">
        <f t="shared" si="10"/>
        <v>8.7616043640408514E-4</v>
      </c>
      <c r="O36" s="17">
        <f t="shared" si="5"/>
        <v>95812.010832067288</v>
      </c>
      <c r="P36" s="6">
        <f t="shared" si="11"/>
        <v>2.1997883258911451E-2</v>
      </c>
      <c r="Q36" s="6">
        <f t="shared" si="12"/>
        <v>4.5472168365492909</v>
      </c>
      <c r="R36" s="1">
        <f t="shared" si="13"/>
        <v>0.44608197166548547</v>
      </c>
    </row>
    <row r="37" spans="2:18">
      <c r="B37" s="161">
        <v>300</v>
      </c>
      <c r="C37" s="18">
        <v>65</v>
      </c>
      <c r="D37" s="18">
        <v>100</v>
      </c>
      <c r="E37" s="6">
        <f t="shared" si="0"/>
        <v>1.5781849745517673</v>
      </c>
      <c r="F37" s="7">
        <f t="shared" si="6"/>
        <v>4.1503681969704669</v>
      </c>
      <c r="G37" s="1">
        <f t="shared" si="7"/>
        <v>0.4071511201228028</v>
      </c>
      <c r="H37" s="7">
        <f t="shared" si="1"/>
        <v>4.1503681969704669</v>
      </c>
      <c r="I37" s="55">
        <f t="shared" si="14"/>
        <v>0.40689884284024186</v>
      </c>
      <c r="K37" s="6">
        <f t="shared" si="2"/>
        <v>5.0000000000000001E-3</v>
      </c>
      <c r="L37" s="202">
        <f t="shared" si="3"/>
        <v>6.3500000000000001E-2</v>
      </c>
      <c r="M37" s="6">
        <f t="shared" si="9"/>
        <v>1.5781849745517673</v>
      </c>
      <c r="N37" s="6">
        <f t="shared" si="10"/>
        <v>7.244094488188976E-4</v>
      </c>
      <c r="O37" s="17">
        <f t="shared" si="5"/>
        <v>125080.05877255774</v>
      </c>
      <c r="P37" s="6">
        <f t="shared" si="11"/>
        <v>2.084415086931924E-2</v>
      </c>
      <c r="Q37" s="6">
        <f t="shared" si="12"/>
        <v>4.1503681969704669</v>
      </c>
      <c r="R37" s="1">
        <f t="shared" si="13"/>
        <v>0.4071511201228028</v>
      </c>
    </row>
    <row r="38" spans="2:18">
      <c r="B38" s="161">
        <v>570</v>
      </c>
      <c r="C38" s="18">
        <v>80</v>
      </c>
      <c r="D38" s="18">
        <v>100</v>
      </c>
      <c r="E38" s="6">
        <f t="shared" si="0"/>
        <v>1.9910437910621137</v>
      </c>
      <c r="F38" s="7">
        <f t="shared" si="6"/>
        <v>5.0217646296533989</v>
      </c>
      <c r="G38" s="1">
        <f t="shared" si="7"/>
        <v>0.49263511016899841</v>
      </c>
      <c r="H38" s="7">
        <f t="shared" si="1"/>
        <v>5.0217646296533989</v>
      </c>
      <c r="I38" s="55">
        <f t="shared" si="14"/>
        <v>0.49232986565229403</v>
      </c>
      <c r="K38" s="6">
        <f t="shared" si="2"/>
        <v>9.4999999999999998E-3</v>
      </c>
      <c r="L38" s="202">
        <f t="shared" si="3"/>
        <v>7.7927200000000002E-2</v>
      </c>
      <c r="M38" s="6">
        <f t="shared" si="9"/>
        <v>1.9910437910621137</v>
      </c>
      <c r="N38" s="6">
        <f t="shared" si="10"/>
        <v>5.9029453130614209E-4</v>
      </c>
      <c r="O38" s="17">
        <f t="shared" si="5"/>
        <v>193653.93714786484</v>
      </c>
      <c r="P38" s="6">
        <f t="shared" si="11"/>
        <v>1.9445694832076268E-2</v>
      </c>
      <c r="Q38" s="6">
        <f t="shared" si="12"/>
        <v>5.0217646296533989</v>
      </c>
      <c r="R38" s="1">
        <f t="shared" si="13"/>
        <v>0.49263511016899841</v>
      </c>
    </row>
    <row r="39" spans="2:18">
      <c r="B39" s="161">
        <v>1200</v>
      </c>
      <c r="C39" s="18">
        <v>100</v>
      </c>
      <c r="D39" s="18">
        <v>100</v>
      </c>
      <c r="E39" s="6">
        <f t="shared" si="0"/>
        <v>2.4341670080760571</v>
      </c>
      <c r="F39" s="7">
        <f t="shared" si="6"/>
        <v>5.2906922450766265</v>
      </c>
      <c r="G39" s="1">
        <f t="shared" si="7"/>
        <v>0.51901690924201715</v>
      </c>
      <c r="H39" s="7">
        <f t="shared" si="1"/>
        <v>5.2906922450766265</v>
      </c>
      <c r="I39" s="55">
        <f t="shared" si="14"/>
        <v>0.51869531814476733</v>
      </c>
      <c r="K39" s="6">
        <f t="shared" si="2"/>
        <v>0.02</v>
      </c>
      <c r="L39" s="202">
        <f t="shared" si="3"/>
        <v>0.10226039999999999</v>
      </c>
      <c r="M39" s="6">
        <f t="shared" si="9"/>
        <v>2.4341670080760571</v>
      </c>
      <c r="N39" s="6">
        <f t="shared" si="10"/>
        <v>4.4983199752787983E-4</v>
      </c>
      <c r="O39" s="17">
        <f t="shared" si="5"/>
        <v>310680.72223685484</v>
      </c>
      <c r="P39" s="6">
        <f t="shared" si="11"/>
        <v>1.7987007173160739E-2</v>
      </c>
      <c r="Q39" s="6">
        <f t="shared" si="12"/>
        <v>5.2906922450766265</v>
      </c>
      <c r="R39" s="1">
        <f t="shared" si="13"/>
        <v>0.51901690924201715</v>
      </c>
    </row>
    <row r="40" spans="2:18">
      <c r="B40" s="161">
        <v>2560</v>
      </c>
      <c r="C40" s="18">
        <v>150</v>
      </c>
      <c r="D40" s="18">
        <v>100</v>
      </c>
      <c r="E40" s="6">
        <f t="shared" si="0"/>
        <v>2.288205482361735</v>
      </c>
      <c r="F40" s="7">
        <f t="shared" si="6"/>
        <v>2.8491697984887616</v>
      </c>
      <c r="G40" s="1">
        <f t="shared" si="7"/>
        <v>0.27950355723174752</v>
      </c>
      <c r="H40" s="7">
        <f t="shared" si="1"/>
        <v>2.8491697984887616</v>
      </c>
      <c r="I40" s="55">
        <f t="shared" si="14"/>
        <v>0.27933037240085901</v>
      </c>
      <c r="K40" s="6">
        <f t="shared" si="2"/>
        <v>4.2666666666666665E-2</v>
      </c>
      <c r="L40" s="202">
        <f t="shared" si="3"/>
        <v>0.15405099999999999</v>
      </c>
      <c r="M40" s="6">
        <f t="shared" si="9"/>
        <v>2.288205482361735</v>
      </c>
      <c r="N40" s="6">
        <f t="shared" si="10"/>
        <v>2.9860241088990009E-4</v>
      </c>
      <c r="O40" s="17">
        <f t="shared" si="5"/>
        <v>439962.83382488019</v>
      </c>
      <c r="P40" s="6">
        <f t="shared" si="11"/>
        <v>1.6513246922984635E-2</v>
      </c>
      <c r="Q40" s="6">
        <f t="shared" si="12"/>
        <v>2.8491697984887616</v>
      </c>
      <c r="R40" s="1">
        <f t="shared" si="13"/>
        <v>0.27950355723174752</v>
      </c>
    </row>
    <row r="41" spans="2:18">
      <c r="B41" s="161">
        <v>3466</v>
      </c>
      <c r="C41" s="18">
        <v>200</v>
      </c>
      <c r="D41" s="18">
        <v>100</v>
      </c>
      <c r="E41" s="6">
        <f t="shared" si="0"/>
        <v>1.7890834721954085</v>
      </c>
      <c r="F41" s="7">
        <f t="shared" si="6"/>
        <v>1.2735238187680744</v>
      </c>
      <c r="G41" s="1">
        <f t="shared" si="7"/>
        <v>0.12493268662114809</v>
      </c>
      <c r="H41" s="7">
        <f t="shared" si="1"/>
        <v>1.2735238187680744</v>
      </c>
      <c r="I41" s="55">
        <f t="shared" si="14"/>
        <v>0.12485527634981122</v>
      </c>
      <c r="K41" s="6">
        <f t="shared" si="2"/>
        <v>5.7766666666666668E-2</v>
      </c>
      <c r="L41" s="202">
        <f t="shared" si="3"/>
        <v>0.20271739999999999</v>
      </c>
      <c r="M41" s="6">
        <f t="shared" si="9"/>
        <v>1.7890834721954085</v>
      </c>
      <c r="N41" s="6">
        <f t="shared" si="10"/>
        <v>2.2691688034672899E-4</v>
      </c>
      <c r="O41" s="17">
        <f t="shared" si="5"/>
        <v>452666.21111147845</v>
      </c>
      <c r="P41" s="6">
        <f t="shared" si="11"/>
        <v>1.5888267997610731E-2</v>
      </c>
      <c r="Q41" s="6">
        <f t="shared" si="12"/>
        <v>1.2735238187680744</v>
      </c>
      <c r="R41" s="1">
        <f t="shared" si="13"/>
        <v>0.12493268662114809</v>
      </c>
    </row>
    <row r="42" spans="2:18">
      <c r="B42" s="161">
        <v>3466</v>
      </c>
      <c r="C42" s="18">
        <v>250</v>
      </c>
      <c r="D42" s="18">
        <v>100</v>
      </c>
      <c r="E42" s="6">
        <f t="shared" si="0"/>
        <v>1.1350363813699171</v>
      </c>
      <c r="F42" s="7">
        <f t="shared" si="6"/>
        <v>0.40670890636859752</v>
      </c>
      <c r="G42" s="1">
        <f t="shared" si="7"/>
        <v>3.9898143714759415E-2</v>
      </c>
      <c r="H42" s="7">
        <f t="shared" si="1"/>
        <v>0.40670890636859752</v>
      </c>
      <c r="I42" s="55">
        <f t="shared" si="14"/>
        <v>3.9873422192999761E-2</v>
      </c>
      <c r="K42" s="6">
        <f t="shared" si="2"/>
        <v>5.7766666666666668E-2</v>
      </c>
      <c r="L42" s="202">
        <f t="shared" si="3"/>
        <v>0.25450799999999996</v>
      </c>
      <c r="M42" s="6">
        <f t="shared" si="9"/>
        <v>1.1350363813699171</v>
      </c>
      <c r="N42" s="6">
        <f t="shared" si="10"/>
        <v>1.8074088044383677E-4</v>
      </c>
      <c r="O42" s="17">
        <f t="shared" si="5"/>
        <v>360551.79948909278</v>
      </c>
      <c r="P42" s="6">
        <f t="shared" si="11"/>
        <v>1.5827241216385211E-2</v>
      </c>
      <c r="Q42" s="6">
        <f t="shared" si="12"/>
        <v>0.40670890636859752</v>
      </c>
      <c r="R42" s="1">
        <f t="shared" si="13"/>
        <v>3.9898143714759415E-2</v>
      </c>
    </row>
    <row r="43" spans="2:18">
      <c r="B43" s="161">
        <v>3466</v>
      </c>
      <c r="C43" s="18">
        <v>300</v>
      </c>
      <c r="D43" s="18">
        <v>100</v>
      </c>
      <c r="E43" s="6">
        <f t="shared" si="0"/>
        <v>0.79961710575907741</v>
      </c>
      <c r="F43" s="7">
        <f t="shared" si="6"/>
        <v>0.17008710306705407</v>
      </c>
      <c r="G43" s="1">
        <f t="shared" si="7"/>
        <v>1.6685544810878004E-2</v>
      </c>
      <c r="H43" s="7">
        <f t="shared" si="1"/>
        <v>0.17008710306705407</v>
      </c>
      <c r="I43" s="55">
        <f t="shared" si="14"/>
        <v>1.6675206183044518E-2</v>
      </c>
      <c r="K43" s="6">
        <f t="shared" si="2"/>
        <v>5.7766666666666668E-2</v>
      </c>
      <c r="L43" s="202">
        <f t="shared" si="3"/>
        <v>0.30322520000000003</v>
      </c>
      <c r="M43" s="6">
        <f t="shared" si="9"/>
        <v>0.79961710575907741</v>
      </c>
      <c r="N43" s="6">
        <f t="shared" si="10"/>
        <v>1.5170243106443659E-4</v>
      </c>
      <c r="O43" s="17">
        <f t="shared" si="5"/>
        <v>302624.31151622627</v>
      </c>
      <c r="P43" s="6">
        <f t="shared" si="11"/>
        <v>1.5889571579300599E-2</v>
      </c>
      <c r="Q43" s="6">
        <f t="shared" si="12"/>
        <v>0.17008710306705407</v>
      </c>
      <c r="R43" s="1">
        <f t="shared" si="13"/>
        <v>1.6685544810878004E-2</v>
      </c>
    </row>
    <row r="44" spans="2:18">
      <c r="B44" s="161">
        <v>3466</v>
      </c>
      <c r="C44" s="18">
        <v>350</v>
      </c>
      <c r="D44" s="18">
        <v>100</v>
      </c>
      <c r="E44" s="6">
        <f t="shared" si="0"/>
        <v>0.66142472500614147</v>
      </c>
      <c r="F44" s="7">
        <f t="shared" si="6"/>
        <v>0.10632615691513622</v>
      </c>
      <c r="G44" s="1">
        <f t="shared" si="7"/>
        <v>1.0430595993374864E-2</v>
      </c>
      <c r="H44" s="7">
        <f t="shared" si="1"/>
        <v>0.10632615691513622</v>
      </c>
      <c r="I44" s="55">
        <f t="shared" si="14"/>
        <v>1.0424133030895708E-2</v>
      </c>
      <c r="K44" s="6">
        <f t="shared" si="2"/>
        <v>5.7766666666666668E-2</v>
      </c>
      <c r="L44" s="202">
        <f t="shared" si="3"/>
        <v>0.33340039999999999</v>
      </c>
      <c r="M44" s="6">
        <f t="shared" si="9"/>
        <v>0.66142472500614147</v>
      </c>
      <c r="N44" s="6">
        <f t="shared" si="10"/>
        <v>1.3797223998531497E-4</v>
      </c>
      <c r="O44" s="17">
        <f t="shared" si="5"/>
        <v>275234.57495662884</v>
      </c>
      <c r="P44" s="6">
        <f t="shared" si="11"/>
        <v>1.5961916962679741E-2</v>
      </c>
      <c r="Q44" s="6">
        <f t="shared" si="12"/>
        <v>0.10632615691513622</v>
      </c>
      <c r="R44" s="1">
        <f t="shared" si="13"/>
        <v>1.0430595993374864E-2</v>
      </c>
    </row>
    <row r="45" spans="2:18">
      <c r="B45" s="161">
        <v>3466</v>
      </c>
      <c r="C45" s="18">
        <v>400</v>
      </c>
      <c r="D45" s="18">
        <v>100</v>
      </c>
      <c r="E45" s="6">
        <f t="shared" si="0"/>
        <v>0.50648047424040976</v>
      </c>
      <c r="F45" s="212">
        <f t="shared" si="6"/>
        <v>5.50548606132601E-2</v>
      </c>
      <c r="G45" s="1">
        <f t="shared" si="7"/>
        <v>5.4008818261608157E-3</v>
      </c>
      <c r="H45" s="7">
        <f t="shared" si="1"/>
        <v>5.5054860613260106E-2</v>
      </c>
      <c r="I45" s="55">
        <f t="shared" si="14"/>
        <v>5.3975353542411869E-3</v>
      </c>
      <c r="K45" s="6">
        <f t="shared" si="2"/>
        <v>5.7766666666666668E-2</v>
      </c>
      <c r="L45" s="202">
        <f t="shared" si="3"/>
        <v>0.38100000000000001</v>
      </c>
      <c r="M45" s="6">
        <f t="shared" si="9"/>
        <v>0.50648047424040976</v>
      </c>
      <c r="N45" s="6">
        <f t="shared" si="10"/>
        <v>1.2073490813648294E-4</v>
      </c>
      <c r="O45" s="17">
        <f t="shared" si="5"/>
        <v>240848.60205871396</v>
      </c>
      <c r="P45" s="6">
        <f t="shared" si="11"/>
        <v>1.6107750477634488E-2</v>
      </c>
      <c r="Q45" s="6">
        <f t="shared" si="12"/>
        <v>5.50548606132601E-2</v>
      </c>
      <c r="R45" s="1">
        <f t="shared" si="13"/>
        <v>5.4008818261608157E-3</v>
      </c>
    </row>
    <row r="46" spans="2:18">
      <c r="B46" s="161">
        <v>3466</v>
      </c>
      <c r="C46" s="18">
        <v>500</v>
      </c>
      <c r="D46" s="18">
        <v>100</v>
      </c>
      <c r="E46" s="6">
        <f t="shared" si="0"/>
        <v>0.32194593498899604</v>
      </c>
      <c r="F46" s="212">
        <f t="shared" si="6"/>
        <v>1.8130343782224272E-2</v>
      </c>
      <c r="G46" s="1">
        <f t="shared" si="7"/>
        <v>1.7785867250362012E-3</v>
      </c>
      <c r="H46" s="7">
        <f t="shared" si="1"/>
        <v>1.8130343782224272E-2</v>
      </c>
      <c r="I46" s="55">
        <f t="shared" si="14"/>
        <v>1.7774846845317915E-3</v>
      </c>
      <c r="K46" s="6">
        <f t="shared" si="2"/>
        <v>5.7766666666666668E-2</v>
      </c>
      <c r="L46" s="202">
        <f t="shared" si="3"/>
        <v>0.47787559999999996</v>
      </c>
      <c r="M46" s="6">
        <f t="shared" si="9"/>
        <v>0.32194593498899604</v>
      </c>
      <c r="N46" s="6">
        <f t="shared" si="10"/>
        <v>9.6259361222878934E-5</v>
      </c>
      <c r="O46" s="17">
        <f t="shared" si="5"/>
        <v>192023.44163286436</v>
      </c>
      <c r="P46" s="6">
        <f t="shared" si="11"/>
        <v>1.6466248613873247E-2</v>
      </c>
      <c r="Q46" s="6">
        <f t="shared" si="12"/>
        <v>1.8130343782224272E-2</v>
      </c>
      <c r="R46" s="1">
        <f t="shared" si="13"/>
        <v>1.7785867250362012E-3</v>
      </c>
    </row>
    <row r="47" spans="2:18" ht="13.5" thickBot="1">
      <c r="B47" s="56"/>
      <c r="C47" s="57"/>
      <c r="D47" s="57"/>
      <c r="E47" s="58"/>
      <c r="F47" s="59"/>
      <c r="G47" s="204"/>
      <c r="H47" s="59"/>
      <c r="I47" s="60"/>
      <c r="K47" s="6"/>
      <c r="L47" s="202"/>
      <c r="M47" s="6"/>
      <c r="N47" s="6"/>
      <c r="O47" s="17"/>
      <c r="P47" s="6"/>
      <c r="Q47" s="6"/>
      <c r="R47" s="1"/>
    </row>
  </sheetData>
  <mergeCells count="3">
    <mergeCell ref="F21:H21"/>
    <mergeCell ref="H29:I29"/>
    <mergeCell ref="F29:G29"/>
  </mergeCells>
  <phoneticPr fontId="2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D35"/>
  <sheetViews>
    <sheetView topLeftCell="A4" workbookViewId="0">
      <selection activeCell="A34" sqref="A34:XFD37"/>
    </sheetView>
  </sheetViews>
  <sheetFormatPr defaultRowHeight="12.75"/>
  <cols>
    <col min="3" max="3" width="16.42578125" customWidth="1"/>
    <col min="4" max="4" width="12.28515625" customWidth="1"/>
  </cols>
  <sheetData>
    <row r="2" spans="2:4">
      <c r="B2" s="131" t="s">
        <v>77</v>
      </c>
      <c r="C2" s="3" t="s">
        <v>11</v>
      </c>
      <c r="D2" s="3" t="s">
        <v>12</v>
      </c>
    </row>
    <row r="3" spans="2:4">
      <c r="B3" s="2"/>
      <c r="C3" s="157" t="s">
        <v>4</v>
      </c>
      <c r="D3" s="157" t="s">
        <v>13</v>
      </c>
    </row>
    <row r="4" spans="2:4">
      <c r="B4" s="154" t="s">
        <v>76</v>
      </c>
      <c r="C4" s="1">
        <v>0.5</v>
      </c>
      <c r="D4" s="1">
        <v>0.622</v>
      </c>
    </row>
    <row r="5" spans="2:4">
      <c r="B5" s="155"/>
      <c r="C5" s="2">
        <v>0.75</v>
      </c>
      <c r="D5" s="2">
        <v>0.82399999999999995</v>
      </c>
    </row>
    <row r="6" spans="2:4">
      <c r="B6" s="155"/>
      <c r="C6" s="1">
        <v>1</v>
      </c>
      <c r="D6" s="1">
        <v>1.0489999999999999</v>
      </c>
    </row>
    <row r="7" spans="2:4">
      <c r="B7" s="155"/>
      <c r="C7" s="1">
        <v>1.25</v>
      </c>
      <c r="D7" s="1">
        <v>1.36</v>
      </c>
    </row>
    <row r="8" spans="2:4">
      <c r="B8" s="155"/>
      <c r="C8" s="1">
        <v>1.5</v>
      </c>
      <c r="D8" s="1">
        <v>1.61</v>
      </c>
    </row>
    <row r="9" spans="2:4">
      <c r="B9" s="155"/>
      <c r="C9" s="1">
        <v>2</v>
      </c>
      <c r="D9" s="1">
        <v>2.0670000000000002</v>
      </c>
    </row>
    <row r="10" spans="2:4">
      <c r="B10" s="155"/>
      <c r="C10" s="1">
        <v>2.5</v>
      </c>
      <c r="D10" s="1">
        <v>2.5</v>
      </c>
    </row>
    <row r="11" spans="2:4">
      <c r="B11" s="155"/>
      <c r="C11" s="1">
        <v>3</v>
      </c>
      <c r="D11" s="1">
        <v>3.0680000000000001</v>
      </c>
    </row>
    <row r="12" spans="2:4">
      <c r="B12" s="155"/>
      <c r="C12" s="1">
        <v>4</v>
      </c>
      <c r="D12" s="1">
        <v>4.0259999999999998</v>
      </c>
    </row>
    <row r="13" spans="2:4">
      <c r="B13" s="155"/>
      <c r="C13" s="1">
        <v>5</v>
      </c>
      <c r="D13" s="6">
        <f>D28</f>
        <v>0.12819399999999997</v>
      </c>
    </row>
    <row r="14" spans="2:4">
      <c r="B14" s="155"/>
      <c r="C14" s="1">
        <v>6</v>
      </c>
      <c r="D14" s="1">
        <v>6.0650000000000004</v>
      </c>
    </row>
    <row r="15" spans="2:4">
      <c r="B15" s="155"/>
      <c r="C15" s="1">
        <v>8</v>
      </c>
      <c r="D15" s="1">
        <v>7.9809999999999999</v>
      </c>
    </row>
    <row r="16" spans="2:4">
      <c r="B16" s="155"/>
      <c r="C16" s="1">
        <v>10</v>
      </c>
      <c r="D16" s="1">
        <v>10.02</v>
      </c>
    </row>
    <row r="17" spans="2:4">
      <c r="B17" s="155"/>
      <c r="C17" s="1">
        <v>12</v>
      </c>
      <c r="D17" s="1">
        <v>11.938000000000001</v>
      </c>
    </row>
    <row r="18" spans="2:4">
      <c r="B18" s="156"/>
      <c r="C18" s="29">
        <v>14</v>
      </c>
      <c r="D18" s="29">
        <v>13.125999999999999</v>
      </c>
    </row>
    <row r="19" spans="2:4">
      <c r="B19" s="154" t="s">
        <v>74</v>
      </c>
      <c r="C19" s="18">
        <v>15</v>
      </c>
      <c r="D19" s="18">
        <v>1.5798799999999998E-2</v>
      </c>
    </row>
    <row r="20" spans="2:4">
      <c r="B20" s="155"/>
      <c r="C20" s="5">
        <v>20</v>
      </c>
      <c r="D20" s="5">
        <v>2.09296E-2</v>
      </c>
    </row>
    <row r="21" spans="2:4">
      <c r="B21" s="155"/>
      <c r="C21" s="18">
        <v>25</v>
      </c>
      <c r="D21" s="18">
        <v>2.6644599999999997E-2</v>
      </c>
    </row>
    <row r="22" spans="2:4">
      <c r="B22" s="155"/>
      <c r="C22" s="18">
        <v>32</v>
      </c>
      <c r="D22" s="18">
        <v>3.4543999999999998E-2</v>
      </c>
    </row>
    <row r="23" spans="2:4">
      <c r="B23" s="155"/>
      <c r="C23" s="18">
        <v>40</v>
      </c>
      <c r="D23" s="18">
        <v>4.0894E-2</v>
      </c>
    </row>
    <row r="24" spans="2:4">
      <c r="B24" s="155"/>
      <c r="C24" s="18">
        <v>50</v>
      </c>
      <c r="D24" s="18">
        <v>5.2501800000000001E-2</v>
      </c>
    </row>
    <row r="25" spans="2:4">
      <c r="B25" s="155"/>
      <c r="C25" s="18">
        <v>65</v>
      </c>
      <c r="D25" s="18">
        <v>6.3500000000000001E-2</v>
      </c>
    </row>
    <row r="26" spans="2:4">
      <c r="B26" s="155"/>
      <c r="C26" s="18">
        <v>80</v>
      </c>
      <c r="D26" s="18">
        <v>7.7927200000000002E-2</v>
      </c>
    </row>
    <row r="27" spans="2:4">
      <c r="B27" s="155"/>
      <c r="C27" s="18">
        <v>100</v>
      </c>
      <c r="D27" s="18">
        <v>0.10226039999999999</v>
      </c>
    </row>
    <row r="28" spans="2:4">
      <c r="B28" s="155"/>
      <c r="C28" s="18">
        <v>125</v>
      </c>
      <c r="D28" s="21">
        <v>0.12819399999999997</v>
      </c>
    </row>
    <row r="29" spans="2:4">
      <c r="B29" s="155"/>
      <c r="C29" s="18">
        <v>150</v>
      </c>
      <c r="D29" s="18">
        <v>0.15405099999999999</v>
      </c>
    </row>
    <row r="30" spans="2:4">
      <c r="B30" s="155"/>
      <c r="C30" s="18">
        <v>200</v>
      </c>
      <c r="D30" s="18">
        <v>0.20271739999999999</v>
      </c>
    </row>
    <row r="31" spans="2:4">
      <c r="B31" s="155"/>
      <c r="C31" s="18">
        <v>250</v>
      </c>
      <c r="D31" s="18">
        <v>0.25450799999999996</v>
      </c>
    </row>
    <row r="32" spans="2:4">
      <c r="B32" s="155"/>
      <c r="C32" s="18">
        <v>300</v>
      </c>
      <c r="D32" s="18">
        <v>0.30322520000000003</v>
      </c>
    </row>
    <row r="33" spans="2:4">
      <c r="B33" s="155"/>
      <c r="C33" s="18">
        <v>350</v>
      </c>
      <c r="D33" s="18">
        <v>0.33340039999999999</v>
      </c>
    </row>
    <row r="34" spans="2:4">
      <c r="B34" s="155"/>
      <c r="C34" s="18">
        <v>400</v>
      </c>
      <c r="D34" s="18">
        <v>0.38100000000000001</v>
      </c>
    </row>
    <row r="35" spans="2:4">
      <c r="B35" s="156"/>
      <c r="C35" s="18">
        <v>500</v>
      </c>
      <c r="D35" s="18">
        <v>0.47787559999999996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P107"/>
  <sheetViews>
    <sheetView workbookViewId="0">
      <pane ySplit="8" topLeftCell="A42" activePane="bottomLeft" state="frozen"/>
      <selection pane="bottomLeft" activeCell="B61" sqref="B61"/>
    </sheetView>
  </sheetViews>
  <sheetFormatPr defaultRowHeight="12.75"/>
  <cols>
    <col min="6" max="8" width="10.85546875" customWidth="1"/>
    <col min="16" max="16" width="11" customWidth="1"/>
  </cols>
  <sheetData>
    <row r="2" spans="2:16">
      <c r="B2" s="70" t="s">
        <v>86</v>
      </c>
      <c r="C2" s="70" t="s">
        <v>87</v>
      </c>
    </row>
    <row r="3" spans="2:16">
      <c r="B3" s="70" t="s">
        <v>79</v>
      </c>
      <c r="C3">
        <v>1000</v>
      </c>
      <c r="D3" s="70" t="s">
        <v>80</v>
      </c>
    </row>
    <row r="4" spans="2:16">
      <c r="B4" s="70" t="s">
        <v>88</v>
      </c>
      <c r="C4" s="30">
        <v>7.9799999999999999E-4</v>
      </c>
      <c r="D4" s="70" t="s">
        <v>82</v>
      </c>
    </row>
    <row r="5" spans="2:16">
      <c r="B5" s="70" t="s">
        <v>90</v>
      </c>
      <c r="C5">
        <v>4.5999999999999999E-2</v>
      </c>
      <c r="D5" s="70" t="s">
        <v>16</v>
      </c>
    </row>
    <row r="7" spans="2:16">
      <c r="B7" s="10" t="s">
        <v>2</v>
      </c>
      <c r="C7" s="11" t="s">
        <v>3</v>
      </c>
      <c r="D7" s="11" t="s">
        <v>8</v>
      </c>
      <c r="E7" s="12" t="s">
        <v>5</v>
      </c>
      <c r="F7" s="218" t="s">
        <v>24</v>
      </c>
      <c r="G7" s="219"/>
      <c r="H7" s="220"/>
      <c r="J7" s="15" t="s">
        <v>17</v>
      </c>
      <c r="K7" s="15" t="s">
        <v>20</v>
      </c>
      <c r="L7" s="15" t="s">
        <v>5</v>
      </c>
      <c r="M7" s="15" t="s">
        <v>22</v>
      </c>
      <c r="N7" s="15" t="s">
        <v>21</v>
      </c>
      <c r="O7" s="15" t="s">
        <v>23</v>
      </c>
      <c r="P7" s="15" t="s">
        <v>24</v>
      </c>
    </row>
    <row r="8" spans="2:16">
      <c r="B8" s="13" t="s">
        <v>73</v>
      </c>
      <c r="C8" s="14" t="s">
        <v>4</v>
      </c>
      <c r="D8" s="14" t="s">
        <v>9</v>
      </c>
      <c r="E8" s="14" t="s">
        <v>6</v>
      </c>
      <c r="F8" s="8" t="s">
        <v>7</v>
      </c>
      <c r="G8" s="8" t="s">
        <v>9</v>
      </c>
      <c r="H8" s="8" t="s">
        <v>10</v>
      </c>
      <c r="J8" s="16" t="s">
        <v>19</v>
      </c>
      <c r="K8" s="16" t="s">
        <v>9</v>
      </c>
      <c r="L8" s="16" t="s">
        <v>6</v>
      </c>
      <c r="M8" s="16"/>
      <c r="N8" s="16"/>
      <c r="O8" s="16"/>
      <c r="P8" s="16" t="s">
        <v>7</v>
      </c>
    </row>
    <row r="9" spans="2:16" s="19" customFormat="1">
      <c r="B9" s="18">
        <v>1</v>
      </c>
      <c r="C9" s="5">
        <v>15</v>
      </c>
      <c r="D9" s="18">
        <v>100</v>
      </c>
      <c r="E9" s="21">
        <f t="shared" ref="E9:E40" si="0">L9</f>
        <v>8.4983751296241666E-2</v>
      </c>
      <c r="F9" s="22">
        <f t="shared" ref="F9:F40" si="1">P9</f>
        <v>0.13218130843194287</v>
      </c>
      <c r="G9" s="22">
        <f t="shared" ref="G9:G40" si="2">F9*D9/100</f>
        <v>0.13218130843194287</v>
      </c>
      <c r="H9" s="22">
        <f>G9/10.2</f>
        <v>1.2958951807053223E-2</v>
      </c>
      <c r="J9" s="21">
        <f>B9/1000/60</f>
        <v>1.6666666666666667E-5</v>
      </c>
      <c r="K9" s="21">
        <f t="shared" ref="K9:K40" si="3">VLOOKUP(C9,PIPESIZE,2,FALSE)</f>
        <v>1.5798799999999998E-2</v>
      </c>
      <c r="L9" s="21">
        <f t="shared" ref="L9:L40" si="4">J9/22*7/K9^2*4</f>
        <v>8.4983751296241666E-2</v>
      </c>
      <c r="M9" s="21">
        <f>$C$5/1000/K9</f>
        <v>2.9116135402688817E-3</v>
      </c>
      <c r="N9" s="23">
        <f>L9*K9/$C$4*$C$3</f>
        <v>1682.5078821792767</v>
      </c>
      <c r="O9" s="21">
        <f t="shared" ref="O9:O40" si="5">0.25/(LOG(M9/3.7+5.74/N9^0.9))^2</f>
        <v>5.6731119772774834E-2</v>
      </c>
      <c r="P9" s="21">
        <f t="shared" ref="P9:P40" si="6">O9*100/K9*L9^2/2/9.81</f>
        <v>0.13218130843194287</v>
      </c>
    </row>
    <row r="10" spans="2:16" s="19" customFormat="1">
      <c r="B10" s="18">
        <v>20</v>
      </c>
      <c r="C10" s="5">
        <v>15</v>
      </c>
      <c r="D10" s="18">
        <v>100</v>
      </c>
      <c r="E10" s="21">
        <f t="shared" si="0"/>
        <v>1.6996750259248332</v>
      </c>
      <c r="F10" s="22">
        <f t="shared" si="1"/>
        <v>27.781900942995911</v>
      </c>
      <c r="G10" s="22">
        <f t="shared" si="2"/>
        <v>27.781900942995911</v>
      </c>
      <c r="H10" s="22">
        <f t="shared" ref="H10:H73" si="7">G10/10.2</f>
        <v>2.7237157787250896</v>
      </c>
      <c r="J10" s="21">
        <f t="shared" ref="J10:J72" si="8">B10/1000/60</f>
        <v>3.3333333333333332E-4</v>
      </c>
      <c r="K10" s="21">
        <f t="shared" si="3"/>
        <v>1.5798799999999998E-2</v>
      </c>
      <c r="L10" s="21">
        <f t="shared" si="4"/>
        <v>1.6996750259248332</v>
      </c>
      <c r="M10" s="21">
        <f t="shared" ref="M10:M73" si="9">$C$5/1000/K10</f>
        <v>2.9116135402688817E-3</v>
      </c>
      <c r="N10" s="23">
        <f t="shared" ref="N10:N73" si="10">L10*K10/$C$4*$C$3</f>
        <v>33650.157643585531</v>
      </c>
      <c r="O10" s="21">
        <f t="shared" si="5"/>
        <v>2.9809402868862585E-2</v>
      </c>
      <c r="P10" s="21">
        <f t="shared" si="6"/>
        <v>27.781900942995911</v>
      </c>
    </row>
    <row r="11" spans="2:16" s="19" customFormat="1">
      <c r="B11" s="18">
        <v>200</v>
      </c>
      <c r="C11" s="5">
        <v>15</v>
      </c>
      <c r="D11" s="18">
        <v>100</v>
      </c>
      <c r="E11" s="21">
        <f t="shared" si="0"/>
        <v>16.99675025924833</v>
      </c>
      <c r="F11" s="22">
        <f t="shared" si="1"/>
        <v>2469.4067389384104</v>
      </c>
      <c r="G11" s="22">
        <f t="shared" si="2"/>
        <v>2469.4067389384104</v>
      </c>
      <c r="H11" s="22">
        <f t="shared" si="7"/>
        <v>242.09869989592261</v>
      </c>
      <c r="J11" s="21">
        <f t="shared" si="8"/>
        <v>3.3333333333333335E-3</v>
      </c>
      <c r="K11" s="21">
        <f t="shared" si="3"/>
        <v>1.5798799999999998E-2</v>
      </c>
      <c r="L11" s="21">
        <f t="shared" si="4"/>
        <v>16.99675025924833</v>
      </c>
      <c r="M11" s="21">
        <f t="shared" si="9"/>
        <v>2.9116135402688817E-3</v>
      </c>
      <c r="N11" s="23">
        <f t="shared" si="10"/>
        <v>336501.5764358553</v>
      </c>
      <c r="O11" s="21">
        <f t="shared" si="5"/>
        <v>2.6496221579343535E-2</v>
      </c>
      <c r="P11" s="21">
        <f t="shared" si="6"/>
        <v>2469.4067389384104</v>
      </c>
    </row>
    <row r="12" spans="2:16" s="19" customFormat="1">
      <c r="B12" s="18">
        <v>10000</v>
      </c>
      <c r="C12" s="5">
        <v>15</v>
      </c>
      <c r="D12" s="18">
        <v>100</v>
      </c>
      <c r="E12" s="21">
        <f t="shared" si="0"/>
        <v>849.83751296241655</v>
      </c>
      <c r="F12" s="22">
        <f t="shared" si="1"/>
        <v>6049286.1539047314</v>
      </c>
      <c r="G12" s="22">
        <f t="shared" si="2"/>
        <v>6049286.1539047314</v>
      </c>
      <c r="H12" s="22">
        <f t="shared" si="7"/>
        <v>593067.26999066002</v>
      </c>
      <c r="J12" s="21">
        <f t="shared" si="8"/>
        <v>0.16666666666666666</v>
      </c>
      <c r="K12" s="21">
        <f t="shared" si="3"/>
        <v>1.5798799999999998E-2</v>
      </c>
      <c r="L12" s="21">
        <f t="shared" si="4"/>
        <v>849.83751296241655</v>
      </c>
      <c r="M12" s="21">
        <f t="shared" si="9"/>
        <v>2.9116135402688817E-3</v>
      </c>
      <c r="N12" s="23">
        <f t="shared" si="10"/>
        <v>16825078.821792763</v>
      </c>
      <c r="O12" s="21">
        <f t="shared" si="5"/>
        <v>2.5963033760832741E-2</v>
      </c>
      <c r="P12" s="21">
        <f t="shared" si="6"/>
        <v>6049286.1539047314</v>
      </c>
    </row>
    <row r="13" spans="2:16" s="27" customFormat="1">
      <c r="B13" s="24">
        <v>1</v>
      </c>
      <c r="C13" s="24">
        <v>20</v>
      </c>
      <c r="D13" s="24">
        <v>100</v>
      </c>
      <c r="E13" s="25">
        <f t="shared" si="0"/>
        <v>4.8424176460574682E-2</v>
      </c>
      <c r="F13" s="26">
        <f t="shared" si="1"/>
        <v>3.5425228468557092E-2</v>
      </c>
      <c r="G13" s="26">
        <f t="shared" si="2"/>
        <v>3.5425228468557092E-2</v>
      </c>
      <c r="H13" s="26">
        <f t="shared" si="7"/>
        <v>3.473061614564421E-3</v>
      </c>
      <c r="J13" s="21">
        <f t="shared" si="8"/>
        <v>1.6666666666666667E-5</v>
      </c>
      <c r="K13" s="25">
        <f t="shared" si="3"/>
        <v>2.09296E-2</v>
      </c>
      <c r="L13" s="25">
        <f t="shared" si="4"/>
        <v>4.8424176460574682E-2</v>
      </c>
      <c r="M13" s="25">
        <f t="shared" si="9"/>
        <v>2.1978442015136456E-3</v>
      </c>
      <c r="N13" s="28">
        <f t="shared" si="10"/>
        <v>1270.0484256256188</v>
      </c>
      <c r="O13" s="25">
        <f t="shared" si="5"/>
        <v>6.2036616640310238E-2</v>
      </c>
      <c r="P13" s="25">
        <f t="shared" si="6"/>
        <v>3.5425228468557092E-2</v>
      </c>
    </row>
    <row r="14" spans="2:16" s="27" customFormat="1">
      <c r="B14" s="24">
        <v>20</v>
      </c>
      <c r="C14" s="24">
        <v>20</v>
      </c>
      <c r="D14" s="24">
        <v>100</v>
      </c>
      <c r="E14" s="25">
        <f t="shared" si="0"/>
        <v>0.96848352921149361</v>
      </c>
      <c r="F14" s="26">
        <f t="shared" si="1"/>
        <v>6.7217790964878938</v>
      </c>
      <c r="G14" s="26">
        <f t="shared" si="2"/>
        <v>6.7217790964878938</v>
      </c>
      <c r="H14" s="26">
        <f t="shared" si="7"/>
        <v>0.65899795063606803</v>
      </c>
      <c r="J14" s="21">
        <f t="shared" si="8"/>
        <v>3.3333333333333332E-4</v>
      </c>
      <c r="K14" s="25">
        <f t="shared" si="3"/>
        <v>2.09296E-2</v>
      </c>
      <c r="L14" s="25">
        <f t="shared" si="4"/>
        <v>0.96848352921149361</v>
      </c>
      <c r="M14" s="25">
        <f t="shared" si="9"/>
        <v>2.1978442015136456E-3</v>
      </c>
      <c r="N14" s="28">
        <f t="shared" si="10"/>
        <v>25400.96851251238</v>
      </c>
      <c r="O14" s="25">
        <f t="shared" si="5"/>
        <v>2.9427928271499385E-2</v>
      </c>
      <c r="P14" s="25">
        <f t="shared" si="6"/>
        <v>6.7217790964878938</v>
      </c>
    </row>
    <row r="15" spans="2:16" s="27" customFormat="1">
      <c r="B15" s="24">
        <v>200</v>
      </c>
      <c r="C15" s="24">
        <v>20</v>
      </c>
      <c r="D15" s="24">
        <v>100</v>
      </c>
      <c r="E15" s="25">
        <f t="shared" si="0"/>
        <v>9.6848352921149345</v>
      </c>
      <c r="F15" s="26">
        <f t="shared" si="1"/>
        <v>567.42143017747139</v>
      </c>
      <c r="G15" s="26">
        <f t="shared" si="2"/>
        <v>567.42143017747139</v>
      </c>
      <c r="H15" s="26">
        <f t="shared" si="7"/>
        <v>55.629551978183471</v>
      </c>
      <c r="J15" s="21">
        <f t="shared" si="8"/>
        <v>3.3333333333333335E-3</v>
      </c>
      <c r="K15" s="25">
        <f t="shared" si="3"/>
        <v>2.09296E-2</v>
      </c>
      <c r="L15" s="25">
        <f t="shared" si="4"/>
        <v>9.6848352921149345</v>
      </c>
      <c r="M15" s="25">
        <f t="shared" si="9"/>
        <v>2.1978442015136456E-3</v>
      </c>
      <c r="N15" s="28">
        <f t="shared" si="10"/>
        <v>254009.68512512371</v>
      </c>
      <c r="O15" s="25">
        <f t="shared" si="5"/>
        <v>2.4841692812694331E-2</v>
      </c>
      <c r="P15" s="25">
        <f t="shared" si="6"/>
        <v>567.42143017747139</v>
      </c>
    </row>
    <row r="16" spans="2:16" s="27" customFormat="1">
      <c r="B16" s="24">
        <v>2000</v>
      </c>
      <c r="C16" s="24">
        <v>20</v>
      </c>
      <c r="D16" s="24">
        <v>100</v>
      </c>
      <c r="E16" s="25">
        <f t="shared" si="0"/>
        <v>96.848352921149356</v>
      </c>
      <c r="F16" s="26">
        <f t="shared" si="1"/>
        <v>55107.495674968632</v>
      </c>
      <c r="G16" s="26">
        <f t="shared" si="2"/>
        <v>55107.495674968632</v>
      </c>
      <c r="H16" s="26">
        <f t="shared" si="7"/>
        <v>5402.6956544086897</v>
      </c>
      <c r="J16" s="21">
        <f t="shared" si="8"/>
        <v>3.3333333333333333E-2</v>
      </c>
      <c r="K16" s="25">
        <f t="shared" si="3"/>
        <v>2.09296E-2</v>
      </c>
      <c r="L16" s="25">
        <f t="shared" si="4"/>
        <v>96.848352921149356</v>
      </c>
      <c r="M16" s="25">
        <f t="shared" si="9"/>
        <v>2.1978442015136456E-3</v>
      </c>
      <c r="N16" s="28">
        <f t="shared" si="10"/>
        <v>2540096.8512512371</v>
      </c>
      <c r="O16" s="25">
        <f t="shared" si="5"/>
        <v>2.4126044707304832E-2</v>
      </c>
      <c r="P16" s="25">
        <f t="shared" si="6"/>
        <v>55107.495674968632</v>
      </c>
    </row>
    <row r="17" spans="2:16">
      <c r="B17" s="18">
        <v>1</v>
      </c>
      <c r="C17" s="18">
        <v>25</v>
      </c>
      <c r="D17" s="18">
        <v>100</v>
      </c>
      <c r="E17" s="6">
        <f t="shared" si="0"/>
        <v>2.9878974697855748E-2</v>
      </c>
      <c r="F17" s="7">
        <f t="shared" si="1"/>
        <v>1.1547009514247321E-2</v>
      </c>
      <c r="G17" s="7">
        <f t="shared" si="2"/>
        <v>1.1547009514247319E-2</v>
      </c>
      <c r="H17" s="7">
        <f t="shared" si="7"/>
        <v>1.1320597562987568E-3</v>
      </c>
      <c r="J17" s="21">
        <f t="shared" si="8"/>
        <v>1.6666666666666667E-5</v>
      </c>
      <c r="K17" s="6">
        <f t="shared" si="3"/>
        <v>2.6644599999999997E-2</v>
      </c>
      <c r="L17" s="6">
        <f t="shared" si="4"/>
        <v>2.9878974697855748E-2</v>
      </c>
      <c r="M17" s="6">
        <f t="shared" si="9"/>
        <v>1.7264286196827876E-3</v>
      </c>
      <c r="N17" s="17">
        <f t="shared" si="10"/>
        <v>997.63575092041003</v>
      </c>
      <c r="O17" s="6">
        <f t="shared" si="5"/>
        <v>6.7615513484379261E-2</v>
      </c>
      <c r="P17" s="6">
        <f t="shared" si="6"/>
        <v>1.1547009514247321E-2</v>
      </c>
    </row>
    <row r="18" spans="2:16">
      <c r="B18" s="18">
        <v>20</v>
      </c>
      <c r="C18" s="18">
        <v>25</v>
      </c>
      <c r="D18" s="18">
        <v>100</v>
      </c>
      <c r="E18" s="6">
        <f t="shared" si="0"/>
        <v>0.59757949395711485</v>
      </c>
      <c r="F18" s="7">
        <f t="shared" si="1"/>
        <v>2.0218721125121526</v>
      </c>
      <c r="G18" s="7">
        <f t="shared" si="2"/>
        <v>2.0218721125121526</v>
      </c>
      <c r="H18" s="7">
        <f t="shared" si="7"/>
        <v>0.19822275612864243</v>
      </c>
      <c r="J18" s="21">
        <f t="shared" si="8"/>
        <v>3.3333333333333332E-4</v>
      </c>
      <c r="K18" s="6">
        <f t="shared" si="3"/>
        <v>2.6644599999999997E-2</v>
      </c>
      <c r="L18" s="6">
        <f t="shared" si="4"/>
        <v>0.59757949395711485</v>
      </c>
      <c r="M18" s="6">
        <f t="shared" si="9"/>
        <v>1.7264286196827876E-3</v>
      </c>
      <c r="N18" s="17">
        <f t="shared" si="10"/>
        <v>19952.715018408198</v>
      </c>
      <c r="O18" s="6">
        <f t="shared" si="5"/>
        <v>2.9598555565095847E-2</v>
      </c>
      <c r="P18" s="6">
        <f t="shared" si="6"/>
        <v>2.0218721125121526</v>
      </c>
    </row>
    <row r="19" spans="2:16">
      <c r="B19" s="18">
        <v>200</v>
      </c>
      <c r="C19" s="18">
        <v>25</v>
      </c>
      <c r="D19" s="18">
        <v>100</v>
      </c>
      <c r="E19" s="6">
        <f t="shared" si="0"/>
        <v>5.9757949395711476</v>
      </c>
      <c r="F19" s="7">
        <f t="shared" si="1"/>
        <v>161.81361760200227</v>
      </c>
      <c r="G19" s="7">
        <f t="shared" si="2"/>
        <v>161.81361760200227</v>
      </c>
      <c r="H19" s="7">
        <f t="shared" si="7"/>
        <v>15.864080157059046</v>
      </c>
      <c r="J19" s="21">
        <f t="shared" si="8"/>
        <v>3.3333333333333335E-3</v>
      </c>
      <c r="K19" s="6">
        <f t="shared" si="3"/>
        <v>2.6644599999999997E-2</v>
      </c>
      <c r="L19" s="6">
        <f t="shared" si="4"/>
        <v>5.9757949395711476</v>
      </c>
      <c r="M19" s="6">
        <f t="shared" si="9"/>
        <v>1.7264286196827876E-3</v>
      </c>
      <c r="N19" s="17">
        <f t="shared" si="10"/>
        <v>199527.15018408193</v>
      </c>
      <c r="O19" s="6">
        <f t="shared" si="5"/>
        <v>2.3688191365532022E-2</v>
      </c>
      <c r="P19" s="6">
        <f t="shared" si="6"/>
        <v>161.81361760200227</v>
      </c>
    </row>
    <row r="20" spans="2:16">
      <c r="B20" s="18">
        <v>10000</v>
      </c>
      <c r="C20" s="18">
        <v>25</v>
      </c>
      <c r="D20" s="18">
        <v>100</v>
      </c>
      <c r="E20" s="6">
        <f t="shared" si="0"/>
        <v>298.78974697855739</v>
      </c>
      <c r="F20" s="7">
        <f t="shared" si="1"/>
        <v>385387.73676361708</v>
      </c>
      <c r="G20" s="7">
        <f t="shared" si="2"/>
        <v>385387.73676361708</v>
      </c>
      <c r="H20" s="7">
        <f t="shared" si="7"/>
        <v>37783.111447413445</v>
      </c>
      <c r="J20" s="21">
        <f t="shared" si="8"/>
        <v>0.16666666666666666</v>
      </c>
      <c r="K20" s="6">
        <f t="shared" si="3"/>
        <v>2.6644599999999997E-2</v>
      </c>
      <c r="L20" s="6">
        <f t="shared" si="4"/>
        <v>298.78974697855739</v>
      </c>
      <c r="M20" s="6">
        <f t="shared" si="9"/>
        <v>1.7264286196827876E-3</v>
      </c>
      <c r="N20" s="17">
        <f t="shared" si="10"/>
        <v>9976357.5092040971</v>
      </c>
      <c r="O20" s="6">
        <f t="shared" si="5"/>
        <v>2.2567046194690306E-2</v>
      </c>
      <c r="P20" s="6">
        <f t="shared" si="6"/>
        <v>385387.73676361708</v>
      </c>
    </row>
    <row r="21" spans="2:16" s="27" customFormat="1">
      <c r="B21" s="24">
        <v>1</v>
      </c>
      <c r="C21" s="24">
        <v>32</v>
      </c>
      <c r="D21" s="24">
        <v>100</v>
      </c>
      <c r="E21" s="25">
        <f t="shared" si="0"/>
        <v>1.7776196819039337E-2</v>
      </c>
      <c r="F21" s="26">
        <f t="shared" si="1"/>
        <v>3.4880358635807425E-3</v>
      </c>
      <c r="G21" s="26">
        <f t="shared" si="2"/>
        <v>3.4880358635807425E-3</v>
      </c>
      <c r="H21" s="26">
        <f t="shared" si="7"/>
        <v>3.4196430035105321E-4</v>
      </c>
      <c r="J21" s="21">
        <f t="shared" si="8"/>
        <v>1.6666666666666667E-5</v>
      </c>
      <c r="K21" s="25">
        <f t="shared" si="3"/>
        <v>3.4543999999999998E-2</v>
      </c>
      <c r="L21" s="25">
        <f t="shared" si="4"/>
        <v>1.7776196819039337E-2</v>
      </c>
      <c r="M21" s="25">
        <f t="shared" si="9"/>
        <v>1.3316350162112089E-3</v>
      </c>
      <c r="N21" s="28">
        <f t="shared" si="10"/>
        <v>769.49992846728685</v>
      </c>
      <c r="O21" s="25">
        <f t="shared" si="5"/>
        <v>7.4812620862756501E-2</v>
      </c>
      <c r="P21" s="25">
        <f t="shared" si="6"/>
        <v>3.4880358635807425E-3</v>
      </c>
    </row>
    <row r="22" spans="2:16" s="27" customFormat="1">
      <c r="B22" s="24">
        <v>20</v>
      </c>
      <c r="C22" s="24">
        <v>32</v>
      </c>
      <c r="D22" s="24">
        <v>100</v>
      </c>
      <c r="E22" s="25">
        <f t="shared" si="0"/>
        <v>0.35552393638078672</v>
      </c>
      <c r="F22" s="26">
        <f t="shared" si="1"/>
        <v>0.5646425608445016</v>
      </c>
      <c r="G22" s="26">
        <f t="shared" si="2"/>
        <v>0.5646425608445016</v>
      </c>
      <c r="H22" s="26">
        <f t="shared" si="7"/>
        <v>5.5357113808284474E-2</v>
      </c>
      <c r="J22" s="21">
        <f t="shared" si="8"/>
        <v>3.3333333333333332E-4</v>
      </c>
      <c r="K22" s="25">
        <f t="shared" si="3"/>
        <v>3.4543999999999998E-2</v>
      </c>
      <c r="L22" s="25">
        <f t="shared" si="4"/>
        <v>0.35552393638078672</v>
      </c>
      <c r="M22" s="25">
        <f t="shared" si="9"/>
        <v>1.3316350162112089E-3</v>
      </c>
      <c r="N22" s="28">
        <f t="shared" si="10"/>
        <v>15389.998569345733</v>
      </c>
      <c r="O22" s="25">
        <f t="shared" si="5"/>
        <v>3.0276630946155542E-2</v>
      </c>
      <c r="P22" s="25">
        <f t="shared" si="6"/>
        <v>0.5646425608445016</v>
      </c>
    </row>
    <row r="23" spans="2:16" s="27" customFormat="1">
      <c r="B23" s="24">
        <v>200</v>
      </c>
      <c r="C23" s="24">
        <v>32</v>
      </c>
      <c r="D23" s="24">
        <v>100</v>
      </c>
      <c r="E23" s="25">
        <f t="shared" si="0"/>
        <v>3.5552393638078668</v>
      </c>
      <c r="F23" s="26">
        <f t="shared" si="1"/>
        <v>42.400676697538394</v>
      </c>
      <c r="G23" s="26">
        <f t="shared" si="2"/>
        <v>42.400676697538394</v>
      </c>
      <c r="H23" s="26">
        <f t="shared" si="7"/>
        <v>4.1569290879939604</v>
      </c>
      <c r="J23" s="21">
        <f t="shared" si="8"/>
        <v>3.3333333333333335E-3</v>
      </c>
      <c r="K23" s="25">
        <f t="shared" si="3"/>
        <v>3.4543999999999998E-2</v>
      </c>
      <c r="L23" s="25">
        <f t="shared" si="4"/>
        <v>3.5552393638078668</v>
      </c>
      <c r="M23" s="25">
        <f t="shared" si="9"/>
        <v>1.3316350162112089E-3</v>
      </c>
      <c r="N23" s="28">
        <f t="shared" si="10"/>
        <v>153899.98569345733</v>
      </c>
      <c r="O23" s="25">
        <f t="shared" si="5"/>
        <v>2.2735615932291765E-2</v>
      </c>
      <c r="P23" s="25">
        <f t="shared" si="6"/>
        <v>42.400676697538394</v>
      </c>
    </row>
    <row r="24" spans="2:16" s="27" customFormat="1">
      <c r="B24" s="24">
        <v>2000</v>
      </c>
      <c r="C24" s="24">
        <v>32</v>
      </c>
      <c r="D24" s="24">
        <v>100</v>
      </c>
      <c r="E24" s="25">
        <f t="shared" si="0"/>
        <v>35.552393638078676</v>
      </c>
      <c r="F24" s="26">
        <f t="shared" si="1"/>
        <v>3973.3585637314841</v>
      </c>
      <c r="G24" s="26">
        <f t="shared" si="2"/>
        <v>3973.3585637314841</v>
      </c>
      <c r="H24" s="26">
        <f t="shared" si="7"/>
        <v>389.54495722857689</v>
      </c>
      <c r="J24" s="21">
        <f t="shared" si="8"/>
        <v>3.3333333333333333E-2</v>
      </c>
      <c r="K24" s="25">
        <f t="shared" si="3"/>
        <v>3.4543999999999998E-2</v>
      </c>
      <c r="L24" s="25">
        <f t="shared" si="4"/>
        <v>35.552393638078676</v>
      </c>
      <c r="M24" s="25">
        <f t="shared" si="9"/>
        <v>1.3316350162112089E-3</v>
      </c>
      <c r="N24" s="28">
        <f t="shared" si="10"/>
        <v>1538999.8569345735</v>
      </c>
      <c r="O24" s="25">
        <f t="shared" si="5"/>
        <v>2.1305498237844396E-2</v>
      </c>
      <c r="P24" s="25">
        <f t="shared" si="6"/>
        <v>3973.3585637314841</v>
      </c>
    </row>
    <row r="25" spans="2:16">
      <c r="B25" s="18">
        <v>1</v>
      </c>
      <c r="C25" s="18">
        <v>40</v>
      </c>
      <c r="D25" s="18">
        <v>100</v>
      </c>
      <c r="E25" s="6">
        <f t="shared" si="0"/>
        <v>1.2684253553680474E-2</v>
      </c>
      <c r="F25" s="7">
        <f t="shared" si="1"/>
        <v>1.6093098390877862E-3</v>
      </c>
      <c r="G25" s="7">
        <f t="shared" si="2"/>
        <v>1.609309839087786E-3</v>
      </c>
      <c r="H25" s="7">
        <f t="shared" si="7"/>
        <v>1.5777547442037118E-4</v>
      </c>
      <c r="J25" s="21">
        <f t="shared" si="8"/>
        <v>1.6666666666666667E-5</v>
      </c>
      <c r="K25" s="6">
        <f t="shared" si="3"/>
        <v>4.0894E-2</v>
      </c>
      <c r="L25" s="6">
        <f t="shared" si="4"/>
        <v>1.2684253553680474E-2</v>
      </c>
      <c r="M25" s="6">
        <f t="shared" si="9"/>
        <v>1.1248593925759281E-3</v>
      </c>
      <c r="N25" s="17">
        <f t="shared" si="10"/>
        <v>650.01236193509942</v>
      </c>
      <c r="O25" s="6">
        <f t="shared" si="5"/>
        <v>8.0254322447515264E-2</v>
      </c>
      <c r="P25" s="6">
        <f t="shared" si="6"/>
        <v>1.6093098390877862E-3</v>
      </c>
    </row>
    <row r="26" spans="2:16">
      <c r="B26" s="18">
        <v>20</v>
      </c>
      <c r="C26" s="18">
        <v>40</v>
      </c>
      <c r="D26" s="18">
        <v>100</v>
      </c>
      <c r="E26" s="6">
        <f t="shared" si="0"/>
        <v>0.25368507107360944</v>
      </c>
      <c r="F26" s="7">
        <f t="shared" si="1"/>
        <v>0.24846834227725845</v>
      </c>
      <c r="G26" s="7">
        <f t="shared" si="2"/>
        <v>0.24846834227725842</v>
      </c>
      <c r="H26" s="7">
        <f t="shared" si="7"/>
        <v>2.4359641399731218E-2</v>
      </c>
      <c r="J26" s="21">
        <f t="shared" si="8"/>
        <v>3.3333333333333332E-4</v>
      </c>
      <c r="K26" s="6">
        <f t="shared" si="3"/>
        <v>4.0894E-2</v>
      </c>
      <c r="L26" s="6">
        <f t="shared" si="4"/>
        <v>0.25368507107360944</v>
      </c>
      <c r="M26" s="6">
        <f t="shared" si="9"/>
        <v>1.1248593925759281E-3</v>
      </c>
      <c r="N26" s="17">
        <f t="shared" si="10"/>
        <v>13000.247238701986</v>
      </c>
      <c r="O26" s="6">
        <f t="shared" si="5"/>
        <v>3.0977034339176368E-2</v>
      </c>
      <c r="P26" s="6">
        <f t="shared" si="6"/>
        <v>0.24846834227725845</v>
      </c>
    </row>
    <row r="27" spans="2:16">
      <c r="B27" s="18">
        <v>200</v>
      </c>
      <c r="C27" s="18">
        <v>40</v>
      </c>
      <c r="D27" s="18">
        <v>100</v>
      </c>
      <c r="E27" s="6">
        <f t="shared" si="0"/>
        <v>2.5368507107360942</v>
      </c>
      <c r="F27" s="7">
        <f t="shared" si="1"/>
        <v>17.875163998630619</v>
      </c>
      <c r="G27" s="7">
        <f t="shared" si="2"/>
        <v>17.875163998630619</v>
      </c>
      <c r="H27" s="7">
        <f t="shared" si="7"/>
        <v>1.7524670586892765</v>
      </c>
      <c r="J27" s="21">
        <f t="shared" si="8"/>
        <v>3.3333333333333335E-3</v>
      </c>
      <c r="K27" s="6">
        <f t="shared" si="3"/>
        <v>4.0894E-2</v>
      </c>
      <c r="L27" s="6">
        <f t="shared" si="4"/>
        <v>2.5368507107360942</v>
      </c>
      <c r="M27" s="6">
        <f t="shared" si="9"/>
        <v>1.1248593925759281E-3</v>
      </c>
      <c r="N27" s="17">
        <f t="shared" si="10"/>
        <v>130002.47238701985</v>
      </c>
      <c r="O27" s="6">
        <f t="shared" si="5"/>
        <v>2.2285316669683034E-2</v>
      </c>
      <c r="P27" s="6">
        <f t="shared" si="6"/>
        <v>17.875163998630619</v>
      </c>
    </row>
    <row r="28" spans="2:16">
      <c r="B28" s="18">
        <v>10000</v>
      </c>
      <c r="C28" s="18">
        <v>40</v>
      </c>
      <c r="D28" s="18">
        <v>100</v>
      </c>
      <c r="E28" s="6">
        <f t="shared" si="0"/>
        <v>126.84253553680472</v>
      </c>
      <c r="F28" s="7">
        <f t="shared" si="1"/>
        <v>40665.623343147781</v>
      </c>
      <c r="G28" s="7">
        <f t="shared" si="2"/>
        <v>40665.623343147781</v>
      </c>
      <c r="H28" s="7">
        <f t="shared" si="7"/>
        <v>3986.8258179556651</v>
      </c>
      <c r="J28" s="21">
        <f t="shared" si="8"/>
        <v>0.16666666666666666</v>
      </c>
      <c r="K28" s="6">
        <f t="shared" si="3"/>
        <v>4.0894E-2</v>
      </c>
      <c r="L28" s="6">
        <f t="shared" si="4"/>
        <v>126.84253553680472</v>
      </c>
      <c r="M28" s="6">
        <f t="shared" si="9"/>
        <v>1.1248593925759281E-3</v>
      </c>
      <c r="N28" s="17">
        <f t="shared" si="10"/>
        <v>6500123.6193509921</v>
      </c>
      <c r="O28" s="6">
        <f t="shared" si="5"/>
        <v>2.0279451284285356E-2</v>
      </c>
      <c r="P28" s="6">
        <f t="shared" si="6"/>
        <v>40665.623343147781</v>
      </c>
    </row>
    <row r="29" spans="2:16" s="27" customFormat="1">
      <c r="B29" s="24">
        <v>1</v>
      </c>
      <c r="C29" s="24">
        <v>50</v>
      </c>
      <c r="D29" s="24">
        <v>100</v>
      </c>
      <c r="E29" s="25">
        <f t="shared" si="0"/>
        <v>7.6954799969046507E-3</v>
      </c>
      <c r="F29" s="26">
        <f t="shared" si="1"/>
        <v>5.152209456418227E-4</v>
      </c>
      <c r="G29" s="26">
        <f t="shared" si="2"/>
        <v>5.152209456418227E-4</v>
      </c>
      <c r="H29" s="26">
        <f t="shared" si="7"/>
        <v>5.0511857415864977E-5</v>
      </c>
      <c r="J29" s="21">
        <f t="shared" si="8"/>
        <v>1.6666666666666667E-5</v>
      </c>
      <c r="K29" s="25">
        <f t="shared" si="3"/>
        <v>5.2501800000000001E-2</v>
      </c>
      <c r="L29" s="25">
        <f t="shared" si="4"/>
        <v>7.6954799969046507E-3</v>
      </c>
      <c r="M29" s="25">
        <f t="shared" si="9"/>
        <v>8.7616043640408514E-4</v>
      </c>
      <c r="N29" s="28">
        <f t="shared" si="10"/>
        <v>506.29893696928394</v>
      </c>
      <c r="O29" s="25">
        <f t="shared" si="5"/>
        <v>8.9618006570278588E-2</v>
      </c>
      <c r="P29" s="25">
        <f t="shared" si="6"/>
        <v>5.152209456418227E-4</v>
      </c>
    </row>
    <row r="30" spans="2:16" s="27" customFormat="1">
      <c r="B30" s="24">
        <v>20</v>
      </c>
      <c r="C30" s="24">
        <v>50</v>
      </c>
      <c r="D30" s="24">
        <v>100</v>
      </c>
      <c r="E30" s="25">
        <f t="shared" si="0"/>
        <v>0.153909599938093</v>
      </c>
      <c r="F30" s="26">
        <f t="shared" si="1"/>
        <v>7.4429326645861896E-2</v>
      </c>
      <c r="G30" s="26">
        <f t="shared" si="2"/>
        <v>7.4429326645861896E-2</v>
      </c>
      <c r="H30" s="26">
        <f t="shared" si="7"/>
        <v>7.2969928084178331E-3</v>
      </c>
      <c r="J30" s="21">
        <f t="shared" si="8"/>
        <v>3.3333333333333332E-4</v>
      </c>
      <c r="K30" s="25">
        <f t="shared" si="3"/>
        <v>5.2501800000000001E-2</v>
      </c>
      <c r="L30" s="25">
        <f t="shared" si="4"/>
        <v>0.153909599938093</v>
      </c>
      <c r="M30" s="25">
        <f t="shared" si="9"/>
        <v>8.7616043640408514E-4</v>
      </c>
      <c r="N30" s="28">
        <f t="shared" si="10"/>
        <v>10125.978739385679</v>
      </c>
      <c r="O30" s="25">
        <f t="shared" si="5"/>
        <v>3.2365764342427071E-2</v>
      </c>
      <c r="P30" s="25">
        <f t="shared" si="6"/>
        <v>7.4429326645861896E-2</v>
      </c>
    </row>
    <row r="31" spans="2:16" s="27" customFormat="1">
      <c r="B31" s="24">
        <v>200</v>
      </c>
      <c r="C31" s="24">
        <v>50</v>
      </c>
      <c r="D31" s="24">
        <v>100</v>
      </c>
      <c r="E31" s="25">
        <f t="shared" si="0"/>
        <v>1.5390959993809299</v>
      </c>
      <c r="F31" s="26">
        <f t="shared" si="1"/>
        <v>5.0304548327897916</v>
      </c>
      <c r="G31" s="26">
        <f t="shared" si="2"/>
        <v>5.0304548327897916</v>
      </c>
      <c r="H31" s="26">
        <f t="shared" si="7"/>
        <v>0.4931818463519404</v>
      </c>
      <c r="J31" s="21">
        <f t="shared" si="8"/>
        <v>3.3333333333333335E-3</v>
      </c>
      <c r="K31" s="25">
        <f t="shared" si="3"/>
        <v>5.2501800000000001E-2</v>
      </c>
      <c r="L31" s="25">
        <f t="shared" si="4"/>
        <v>1.5390959993809299</v>
      </c>
      <c r="M31" s="25">
        <f t="shared" si="9"/>
        <v>8.7616043640408514E-4</v>
      </c>
      <c r="N31" s="28">
        <f t="shared" si="10"/>
        <v>101259.78739385678</v>
      </c>
      <c r="O31" s="25">
        <f t="shared" si="5"/>
        <v>2.1875048853790741E-2</v>
      </c>
      <c r="P31" s="25">
        <f t="shared" si="6"/>
        <v>5.0304548327897916</v>
      </c>
    </row>
    <row r="32" spans="2:16" s="27" customFormat="1">
      <c r="B32" s="24">
        <v>10000</v>
      </c>
      <c r="C32" s="24">
        <v>50</v>
      </c>
      <c r="D32" s="24">
        <v>100</v>
      </c>
      <c r="E32" s="25">
        <f t="shared" si="0"/>
        <v>76.954799969046491</v>
      </c>
      <c r="F32" s="26">
        <f t="shared" si="1"/>
        <v>10992.177169415476</v>
      </c>
      <c r="G32" s="26">
        <f t="shared" si="2"/>
        <v>10992.177169415476</v>
      </c>
      <c r="H32" s="26">
        <f t="shared" si="7"/>
        <v>1077.6644283740663</v>
      </c>
      <c r="J32" s="21">
        <f t="shared" si="8"/>
        <v>0.16666666666666666</v>
      </c>
      <c r="K32" s="25">
        <f t="shared" si="3"/>
        <v>5.2501800000000001E-2</v>
      </c>
      <c r="L32" s="25">
        <f t="shared" si="4"/>
        <v>76.954799969046491</v>
      </c>
      <c r="M32" s="25">
        <f t="shared" si="9"/>
        <v>8.7616043640408514E-4</v>
      </c>
      <c r="N32" s="28">
        <f t="shared" si="10"/>
        <v>5062989.3696928388</v>
      </c>
      <c r="O32" s="25">
        <f t="shared" si="5"/>
        <v>1.9119894370039338E-2</v>
      </c>
      <c r="P32" s="25">
        <f t="shared" si="6"/>
        <v>10992.177169415476</v>
      </c>
    </row>
    <row r="33" spans="2:16">
      <c r="B33" s="18">
        <v>1</v>
      </c>
      <c r="C33" s="18">
        <v>65</v>
      </c>
      <c r="D33" s="18">
        <v>100</v>
      </c>
      <c r="E33" s="6">
        <f t="shared" si="0"/>
        <v>5.2606165818392244E-3</v>
      </c>
      <c r="F33" s="7">
        <f t="shared" si="1"/>
        <v>2.1764428836569582E-4</v>
      </c>
      <c r="G33" s="7">
        <f t="shared" si="2"/>
        <v>2.1764428836569579E-4</v>
      </c>
      <c r="H33" s="7">
        <f t="shared" si="7"/>
        <v>2.1337675329970178E-5</v>
      </c>
      <c r="J33" s="21">
        <f t="shared" si="8"/>
        <v>1.6666666666666667E-5</v>
      </c>
      <c r="K33" s="6">
        <f t="shared" si="3"/>
        <v>6.3500000000000001E-2</v>
      </c>
      <c r="L33" s="6">
        <f t="shared" si="4"/>
        <v>5.2606165818392244E-3</v>
      </c>
      <c r="M33" s="6">
        <f t="shared" si="9"/>
        <v>7.244094488188976E-4</v>
      </c>
      <c r="N33" s="17">
        <f t="shared" si="10"/>
        <v>418.60796108620394</v>
      </c>
      <c r="O33" s="6">
        <f t="shared" si="5"/>
        <v>9.7982091079953385E-2</v>
      </c>
      <c r="P33" s="6">
        <f t="shared" si="6"/>
        <v>2.1764428836569582E-4</v>
      </c>
    </row>
    <row r="34" spans="2:16">
      <c r="B34" s="18">
        <v>20</v>
      </c>
      <c r="C34" s="18">
        <v>65</v>
      </c>
      <c r="D34" s="18">
        <v>100</v>
      </c>
      <c r="E34" s="6">
        <f t="shared" si="0"/>
        <v>0.10521233163678448</v>
      </c>
      <c r="F34" s="7">
        <f t="shared" si="1"/>
        <v>2.9933621771852326E-2</v>
      </c>
      <c r="G34" s="7">
        <f t="shared" si="2"/>
        <v>2.9933621771852326E-2</v>
      </c>
      <c r="H34" s="7">
        <f t="shared" si="7"/>
        <v>2.9346688011619927E-3</v>
      </c>
      <c r="J34" s="21">
        <f t="shared" si="8"/>
        <v>3.3333333333333332E-4</v>
      </c>
      <c r="K34" s="6">
        <f t="shared" si="3"/>
        <v>6.3500000000000001E-2</v>
      </c>
      <c r="L34" s="6">
        <f t="shared" si="4"/>
        <v>0.10521233163678448</v>
      </c>
      <c r="M34" s="6">
        <f t="shared" si="9"/>
        <v>7.244094488188976E-4</v>
      </c>
      <c r="N34" s="17">
        <f t="shared" si="10"/>
        <v>8372.1592217240795</v>
      </c>
      <c r="O34" s="6">
        <f t="shared" si="5"/>
        <v>3.3689821093242069E-2</v>
      </c>
      <c r="P34" s="6">
        <f t="shared" si="6"/>
        <v>2.9933621771852326E-2</v>
      </c>
    </row>
    <row r="35" spans="2:16">
      <c r="B35" s="18">
        <v>200</v>
      </c>
      <c r="C35" s="18">
        <v>65</v>
      </c>
      <c r="D35" s="18">
        <v>100</v>
      </c>
      <c r="E35" s="6">
        <f t="shared" si="0"/>
        <v>1.0521233163678447</v>
      </c>
      <c r="F35" s="7">
        <f t="shared" si="1"/>
        <v>1.9345581880158542</v>
      </c>
      <c r="G35" s="7">
        <f t="shared" si="2"/>
        <v>1.9345581880158542</v>
      </c>
      <c r="H35" s="7">
        <f t="shared" si="7"/>
        <v>0.18966256745253474</v>
      </c>
      <c r="J35" s="21">
        <f t="shared" si="8"/>
        <v>3.3333333333333335E-3</v>
      </c>
      <c r="K35" s="6">
        <f t="shared" si="3"/>
        <v>6.3500000000000001E-2</v>
      </c>
      <c r="L35" s="6">
        <f t="shared" si="4"/>
        <v>1.0521233163678447</v>
      </c>
      <c r="M35" s="6">
        <f t="shared" si="9"/>
        <v>7.244094488188976E-4</v>
      </c>
      <c r="N35" s="17">
        <f t="shared" si="10"/>
        <v>83721.592217240788</v>
      </c>
      <c r="O35" s="6">
        <f t="shared" si="5"/>
        <v>2.1773148516898492E-2</v>
      </c>
      <c r="P35" s="6">
        <f t="shared" si="6"/>
        <v>1.9345581880158542</v>
      </c>
    </row>
    <row r="36" spans="2:16">
      <c r="B36" s="18">
        <v>10000</v>
      </c>
      <c r="C36" s="18">
        <v>65</v>
      </c>
      <c r="D36" s="18">
        <v>100</v>
      </c>
      <c r="E36" s="6">
        <f t="shared" si="0"/>
        <v>52.606165818392235</v>
      </c>
      <c r="F36" s="7">
        <f t="shared" si="1"/>
        <v>4068.5299703516489</v>
      </c>
      <c r="G36" s="7">
        <f t="shared" si="2"/>
        <v>4068.5299703516489</v>
      </c>
      <c r="H36" s="7">
        <f t="shared" si="7"/>
        <v>398.87548728937736</v>
      </c>
      <c r="J36" s="21">
        <f t="shared" si="8"/>
        <v>0.16666666666666666</v>
      </c>
      <c r="K36" s="6">
        <f t="shared" si="3"/>
        <v>6.3500000000000001E-2</v>
      </c>
      <c r="L36" s="6">
        <f t="shared" si="4"/>
        <v>52.606165818392235</v>
      </c>
      <c r="M36" s="6">
        <f t="shared" si="9"/>
        <v>7.244094488188976E-4</v>
      </c>
      <c r="N36" s="17">
        <f t="shared" si="10"/>
        <v>4186079.610862039</v>
      </c>
      <c r="O36" s="6">
        <f t="shared" si="5"/>
        <v>1.831626628522855E-2</v>
      </c>
      <c r="P36" s="6">
        <f t="shared" si="6"/>
        <v>4068.5299703516489</v>
      </c>
    </row>
    <row r="37" spans="2:16" s="27" customFormat="1">
      <c r="B37" s="24">
        <v>1</v>
      </c>
      <c r="C37" s="24">
        <v>80</v>
      </c>
      <c r="D37" s="24">
        <v>100</v>
      </c>
      <c r="E37" s="25">
        <f t="shared" si="0"/>
        <v>3.4930592825651121E-3</v>
      </c>
      <c r="F37" s="26">
        <f t="shared" si="1"/>
        <v>8.6535031130475175E-5</v>
      </c>
      <c r="G37" s="26">
        <f t="shared" si="2"/>
        <v>8.6535031130475175E-5</v>
      </c>
      <c r="H37" s="26">
        <f t="shared" si="7"/>
        <v>8.4838265814191354E-6</v>
      </c>
      <c r="J37" s="21">
        <f t="shared" si="8"/>
        <v>1.6666666666666667E-5</v>
      </c>
      <c r="K37" s="25">
        <f t="shared" si="3"/>
        <v>7.7927200000000002E-2</v>
      </c>
      <c r="L37" s="25">
        <f t="shared" si="4"/>
        <v>3.4930592825651121E-3</v>
      </c>
      <c r="M37" s="25">
        <f t="shared" si="9"/>
        <v>5.9029453130614209E-4</v>
      </c>
      <c r="N37" s="28">
        <f t="shared" si="10"/>
        <v>341.10818211066169</v>
      </c>
      <c r="O37" s="25">
        <f t="shared" si="5"/>
        <v>0.10843465861238864</v>
      </c>
      <c r="P37" s="25">
        <f t="shared" si="6"/>
        <v>8.6535031130475175E-5</v>
      </c>
    </row>
    <row r="38" spans="2:16" s="27" customFormat="1">
      <c r="B38" s="24">
        <v>20</v>
      </c>
      <c r="C38" s="24">
        <v>80</v>
      </c>
      <c r="D38" s="24">
        <v>100</v>
      </c>
      <c r="E38" s="25">
        <f t="shared" si="0"/>
        <v>6.9861185651302241E-2</v>
      </c>
      <c r="F38" s="26">
        <f t="shared" si="1"/>
        <v>1.1288703069474108E-2</v>
      </c>
      <c r="G38" s="26">
        <f t="shared" si="2"/>
        <v>1.1288703069474109E-2</v>
      </c>
      <c r="H38" s="26">
        <f t="shared" si="7"/>
        <v>1.1067355950464815E-3</v>
      </c>
      <c r="J38" s="21">
        <f t="shared" si="8"/>
        <v>3.3333333333333332E-4</v>
      </c>
      <c r="K38" s="25">
        <f t="shared" si="3"/>
        <v>7.7927200000000002E-2</v>
      </c>
      <c r="L38" s="25">
        <f t="shared" si="4"/>
        <v>6.9861185651302241E-2</v>
      </c>
      <c r="M38" s="25">
        <f t="shared" si="9"/>
        <v>5.9029453130614209E-4</v>
      </c>
      <c r="N38" s="28">
        <f t="shared" si="10"/>
        <v>6822.1636422132324</v>
      </c>
      <c r="O38" s="25">
        <f t="shared" si="5"/>
        <v>3.5363905447419429E-2</v>
      </c>
      <c r="P38" s="25">
        <f t="shared" si="6"/>
        <v>1.1288703069474108E-2</v>
      </c>
    </row>
    <row r="39" spans="2:16" s="27" customFormat="1">
      <c r="B39" s="24">
        <v>200</v>
      </c>
      <c r="C39" s="24">
        <v>80</v>
      </c>
      <c r="D39" s="24">
        <v>100</v>
      </c>
      <c r="E39" s="25">
        <f t="shared" si="0"/>
        <v>0.69861185651302227</v>
      </c>
      <c r="F39" s="26">
        <f t="shared" si="1"/>
        <v>0.69800134763785471</v>
      </c>
      <c r="G39" s="26">
        <f t="shared" si="2"/>
        <v>0.6980013476378546</v>
      </c>
      <c r="H39" s="26">
        <f t="shared" si="7"/>
        <v>6.843150467037791E-2</v>
      </c>
      <c r="J39" s="21">
        <f t="shared" si="8"/>
        <v>3.3333333333333335E-3</v>
      </c>
      <c r="K39" s="25">
        <f t="shared" si="3"/>
        <v>7.7927200000000002E-2</v>
      </c>
      <c r="L39" s="25">
        <f t="shared" si="4"/>
        <v>0.69861185651302227</v>
      </c>
      <c r="M39" s="25">
        <f t="shared" si="9"/>
        <v>5.9029453130614209E-4</v>
      </c>
      <c r="N39" s="28">
        <f t="shared" si="10"/>
        <v>68221.636422132317</v>
      </c>
      <c r="O39" s="25">
        <f t="shared" si="5"/>
        <v>2.1866155490248333E-2</v>
      </c>
      <c r="P39" s="25">
        <f t="shared" si="6"/>
        <v>0.69800134763785471</v>
      </c>
    </row>
    <row r="40" spans="2:16" s="27" customFormat="1">
      <c r="B40" s="24">
        <v>10000</v>
      </c>
      <c r="C40" s="24">
        <v>80</v>
      </c>
      <c r="D40" s="24">
        <v>100</v>
      </c>
      <c r="E40" s="25">
        <f t="shared" si="0"/>
        <v>34.930592825651111</v>
      </c>
      <c r="F40" s="26">
        <f t="shared" si="1"/>
        <v>1398.5310011480403</v>
      </c>
      <c r="G40" s="26">
        <f t="shared" si="2"/>
        <v>1398.5310011480403</v>
      </c>
      <c r="H40" s="26">
        <f t="shared" si="7"/>
        <v>137.11088246549417</v>
      </c>
      <c r="J40" s="21">
        <f t="shared" si="8"/>
        <v>0.16666666666666666</v>
      </c>
      <c r="K40" s="25">
        <f t="shared" si="3"/>
        <v>7.7927200000000002E-2</v>
      </c>
      <c r="L40" s="25">
        <f t="shared" si="4"/>
        <v>34.930592825651111</v>
      </c>
      <c r="M40" s="25">
        <f t="shared" si="9"/>
        <v>5.9029453130614209E-4</v>
      </c>
      <c r="N40" s="28">
        <f t="shared" si="10"/>
        <v>3411081.8211066159</v>
      </c>
      <c r="O40" s="25">
        <f t="shared" si="5"/>
        <v>1.7524605895117475E-2</v>
      </c>
      <c r="P40" s="25">
        <f t="shared" si="6"/>
        <v>1398.5310011480403</v>
      </c>
    </row>
    <row r="41" spans="2:16">
      <c r="B41" s="18">
        <v>2</v>
      </c>
      <c r="C41" s="18">
        <v>100</v>
      </c>
      <c r="D41" s="18">
        <v>100</v>
      </c>
      <c r="E41" s="6">
        <f t="shared" ref="E41:E72" si="11">L41</f>
        <v>4.0569450134600952E-3</v>
      </c>
      <c r="F41" s="7">
        <f t="shared" ref="F41:F72" si="12">P41</f>
        <v>7.2417054755661886E-5</v>
      </c>
      <c r="G41" s="7">
        <f t="shared" ref="G41:G72" si="13">F41*D41/100</f>
        <v>7.2417054755661886E-5</v>
      </c>
      <c r="H41" s="7">
        <f t="shared" si="7"/>
        <v>7.0997112505550877E-6</v>
      </c>
      <c r="J41" s="21">
        <f t="shared" si="8"/>
        <v>3.3333333333333335E-5</v>
      </c>
      <c r="K41" s="6">
        <f t="shared" ref="K41:K76" si="14">VLOOKUP(C41,PIPESIZE,2,FALSE)</f>
        <v>0.10226039999999999</v>
      </c>
      <c r="L41" s="6">
        <f t="shared" ref="L41:L72" si="15">J41/22*7/K41^2*4</f>
        <v>4.0569450134600952E-3</v>
      </c>
      <c r="M41" s="6">
        <f t="shared" si="9"/>
        <v>4.4983199752787983E-4</v>
      </c>
      <c r="N41" s="17">
        <f t="shared" si="10"/>
        <v>519.88072663462992</v>
      </c>
      <c r="O41" s="6">
        <f t="shared" ref="O41:O72" si="16">0.25/(LOG(M41/3.7+5.74/N41^0.9))^2</f>
        <v>8.8277312913132358E-2</v>
      </c>
      <c r="P41" s="6">
        <f t="shared" ref="P41:P72" si="17">O41*100/K41*L41^2/2/9.81</f>
        <v>7.2417054755661886E-5</v>
      </c>
    </row>
    <row r="42" spans="2:16">
      <c r="B42" s="18">
        <v>20</v>
      </c>
      <c r="C42" s="18">
        <v>100</v>
      </c>
      <c r="D42" s="18">
        <v>100</v>
      </c>
      <c r="E42" s="6">
        <f t="shared" si="11"/>
        <v>4.0569450134600948E-2</v>
      </c>
      <c r="F42" s="7">
        <f t="shared" si="12"/>
        <v>3.115839008920966E-3</v>
      </c>
      <c r="G42" s="7">
        <f t="shared" si="13"/>
        <v>3.115839008920966E-3</v>
      </c>
      <c r="H42" s="7">
        <f t="shared" si="7"/>
        <v>3.0547441263931039E-4</v>
      </c>
      <c r="J42" s="21">
        <f t="shared" si="8"/>
        <v>3.3333333333333332E-4</v>
      </c>
      <c r="K42" s="6">
        <f t="shared" si="14"/>
        <v>0.10226039999999999</v>
      </c>
      <c r="L42" s="6">
        <f t="shared" si="15"/>
        <v>4.0569450134600948E-2</v>
      </c>
      <c r="M42" s="6">
        <f t="shared" si="9"/>
        <v>4.4983199752787983E-4</v>
      </c>
      <c r="N42" s="17">
        <f t="shared" si="10"/>
        <v>5198.8072663462981</v>
      </c>
      <c r="O42" s="6">
        <f t="shared" si="16"/>
        <v>3.7982474723049289E-2</v>
      </c>
      <c r="P42" s="6">
        <f t="shared" si="17"/>
        <v>3.115839008920966E-3</v>
      </c>
    </row>
    <row r="43" spans="2:16">
      <c r="B43" s="18">
        <v>200</v>
      </c>
      <c r="C43" s="18">
        <v>100</v>
      </c>
      <c r="D43" s="18">
        <v>100</v>
      </c>
      <c r="E43" s="6">
        <f t="shared" si="11"/>
        <v>0.40569450134600948</v>
      </c>
      <c r="F43" s="7">
        <f t="shared" si="12"/>
        <v>0.18294813447743308</v>
      </c>
      <c r="G43" s="7">
        <f t="shared" si="13"/>
        <v>0.18294813447743308</v>
      </c>
      <c r="H43" s="7">
        <f t="shared" si="7"/>
        <v>1.7936091615434618E-2</v>
      </c>
      <c r="J43" s="21">
        <f t="shared" si="8"/>
        <v>3.3333333333333335E-3</v>
      </c>
      <c r="K43" s="6">
        <f t="shared" si="14"/>
        <v>0.10226039999999999</v>
      </c>
      <c r="L43" s="6">
        <f t="shared" si="15"/>
        <v>0.40569450134600948</v>
      </c>
      <c r="M43" s="6">
        <f t="shared" si="9"/>
        <v>4.4983199752787983E-4</v>
      </c>
      <c r="N43" s="17">
        <f t="shared" si="10"/>
        <v>51988.07266346299</v>
      </c>
      <c r="O43" s="6">
        <f t="shared" si="16"/>
        <v>2.2301610813405096E-2</v>
      </c>
      <c r="P43" s="6">
        <f t="shared" si="17"/>
        <v>0.18294813447743308</v>
      </c>
    </row>
    <row r="44" spans="2:16">
      <c r="B44" s="18">
        <v>10000</v>
      </c>
      <c r="C44" s="18">
        <v>100</v>
      </c>
      <c r="D44" s="18">
        <v>100</v>
      </c>
      <c r="E44" s="6">
        <f t="shared" si="11"/>
        <v>20.284725067300474</v>
      </c>
      <c r="F44" s="7">
        <f t="shared" si="12"/>
        <v>340.23717244862667</v>
      </c>
      <c r="G44" s="7">
        <f t="shared" si="13"/>
        <v>340.23717244862667</v>
      </c>
      <c r="H44" s="7">
        <f t="shared" si="7"/>
        <v>33.356585534179089</v>
      </c>
      <c r="J44" s="21">
        <f t="shared" si="8"/>
        <v>0.16666666666666666</v>
      </c>
      <c r="K44" s="6">
        <f t="shared" si="14"/>
        <v>0.10226039999999999</v>
      </c>
      <c r="L44" s="6">
        <f t="shared" si="15"/>
        <v>20.284725067300474</v>
      </c>
      <c r="M44" s="6">
        <f t="shared" si="9"/>
        <v>4.4983199752787983E-4</v>
      </c>
      <c r="N44" s="17">
        <f t="shared" si="10"/>
        <v>2599403.6331731491</v>
      </c>
      <c r="O44" s="6">
        <f t="shared" si="16"/>
        <v>1.6590138021087365E-2</v>
      </c>
      <c r="P44" s="6">
        <f t="shared" si="17"/>
        <v>340.23717244862667</v>
      </c>
    </row>
    <row r="45" spans="2:16" s="27" customFormat="1">
      <c r="B45" s="24">
        <v>2</v>
      </c>
      <c r="C45" s="24">
        <v>150</v>
      </c>
      <c r="D45" s="24">
        <v>100</v>
      </c>
      <c r="E45" s="25">
        <f t="shared" si="11"/>
        <v>1.7876605330951058E-3</v>
      </c>
      <c r="F45" s="26">
        <f t="shared" si="12"/>
        <v>1.137990005046411E-5</v>
      </c>
      <c r="G45" s="26">
        <f t="shared" si="13"/>
        <v>1.137990005046411E-5</v>
      </c>
      <c r="H45" s="26">
        <f t="shared" si="7"/>
        <v>1.1156764755356972E-6</v>
      </c>
      <c r="J45" s="21">
        <f t="shared" si="8"/>
        <v>3.3333333333333335E-5</v>
      </c>
      <c r="K45" s="25">
        <f t="shared" si="14"/>
        <v>0.15405099999999999</v>
      </c>
      <c r="L45" s="25">
        <f t="shared" si="15"/>
        <v>1.7876605330951058E-3</v>
      </c>
      <c r="M45" s="25">
        <f t="shared" si="9"/>
        <v>2.9860241088990009E-4</v>
      </c>
      <c r="N45" s="28">
        <f t="shared" si="10"/>
        <v>345.10136940330096</v>
      </c>
      <c r="O45" s="25">
        <f t="shared" si="16"/>
        <v>0.10762963518714853</v>
      </c>
      <c r="P45" s="25">
        <f t="shared" si="17"/>
        <v>1.137990005046411E-5</v>
      </c>
    </row>
    <row r="46" spans="2:16" s="27" customFormat="1">
      <c r="B46" s="24">
        <v>20</v>
      </c>
      <c r="C46" s="24">
        <v>150</v>
      </c>
      <c r="D46" s="24">
        <v>100</v>
      </c>
      <c r="E46" s="25">
        <f t="shared" si="11"/>
        <v>1.7876605330951055E-2</v>
      </c>
      <c r="F46" s="26">
        <f t="shared" si="12"/>
        <v>4.5284521003133044E-4</v>
      </c>
      <c r="G46" s="26">
        <f t="shared" si="13"/>
        <v>4.5284521003133044E-4</v>
      </c>
      <c r="H46" s="26">
        <f t="shared" si="7"/>
        <v>4.4396589218757891E-5</v>
      </c>
      <c r="J46" s="21">
        <f t="shared" si="8"/>
        <v>3.3333333333333332E-4</v>
      </c>
      <c r="K46" s="25">
        <f t="shared" si="14"/>
        <v>0.15405099999999999</v>
      </c>
      <c r="L46" s="25">
        <f t="shared" si="15"/>
        <v>1.7876605330951055E-2</v>
      </c>
      <c r="M46" s="25">
        <f t="shared" si="9"/>
        <v>2.9860241088990009E-4</v>
      </c>
      <c r="N46" s="28">
        <f t="shared" si="10"/>
        <v>3451.0136940330085</v>
      </c>
      <c r="O46" s="25">
        <f t="shared" si="16"/>
        <v>4.2829519183634666E-2</v>
      </c>
      <c r="P46" s="25">
        <f t="shared" si="17"/>
        <v>4.5284521003133044E-4</v>
      </c>
    </row>
    <row r="47" spans="2:16" s="27" customFormat="1">
      <c r="B47" s="24">
        <v>200</v>
      </c>
      <c r="C47" s="24">
        <v>150</v>
      </c>
      <c r="D47" s="24">
        <v>100</v>
      </c>
      <c r="E47" s="25">
        <f t="shared" si="11"/>
        <v>0.17876605330951054</v>
      </c>
      <c r="F47" s="26">
        <f t="shared" si="12"/>
        <v>2.4920796360967709E-2</v>
      </c>
      <c r="G47" s="26">
        <f t="shared" si="13"/>
        <v>2.4920796360967709E-2</v>
      </c>
      <c r="H47" s="26">
        <f t="shared" si="7"/>
        <v>2.4432153295066384E-3</v>
      </c>
      <c r="J47" s="21">
        <f t="shared" si="8"/>
        <v>3.3333333333333335E-3</v>
      </c>
      <c r="K47" s="25">
        <f t="shared" si="14"/>
        <v>0.15405099999999999</v>
      </c>
      <c r="L47" s="25">
        <f t="shared" si="15"/>
        <v>0.17876605330951054</v>
      </c>
      <c r="M47" s="25">
        <f t="shared" si="9"/>
        <v>2.9860241088990009E-4</v>
      </c>
      <c r="N47" s="28">
        <f t="shared" si="10"/>
        <v>34510.136940330085</v>
      </c>
      <c r="O47" s="25">
        <f t="shared" si="16"/>
        <v>2.3569769585056986E-2</v>
      </c>
      <c r="P47" s="25">
        <f t="shared" si="17"/>
        <v>2.4920796360967709E-2</v>
      </c>
    </row>
    <row r="48" spans="2:16" s="27" customFormat="1">
      <c r="B48" s="24">
        <v>20000</v>
      </c>
      <c r="C48" s="24">
        <v>150</v>
      </c>
      <c r="D48" s="24">
        <v>100</v>
      </c>
      <c r="E48" s="25">
        <f t="shared" si="11"/>
        <v>17.876605330951051</v>
      </c>
      <c r="F48" s="26">
        <f t="shared" si="12"/>
        <v>160.79157846396913</v>
      </c>
      <c r="G48" s="26">
        <f t="shared" si="13"/>
        <v>160.79157846396913</v>
      </c>
      <c r="H48" s="26">
        <f t="shared" si="7"/>
        <v>15.763880241565602</v>
      </c>
      <c r="J48" s="21">
        <f t="shared" si="8"/>
        <v>0.33333333333333331</v>
      </c>
      <c r="K48" s="25">
        <f t="shared" si="14"/>
        <v>0.15405099999999999</v>
      </c>
      <c r="L48" s="25">
        <f t="shared" si="15"/>
        <v>17.876605330951051</v>
      </c>
      <c r="M48" s="25">
        <f t="shared" si="9"/>
        <v>2.9860241088990009E-4</v>
      </c>
      <c r="N48" s="28">
        <f t="shared" si="10"/>
        <v>3451013.6940330081</v>
      </c>
      <c r="O48" s="25">
        <f t="shared" si="16"/>
        <v>1.5207461273385247E-2</v>
      </c>
      <c r="P48" s="25">
        <f t="shared" si="17"/>
        <v>160.79157846396913</v>
      </c>
    </row>
    <row r="49" spans="2:16">
      <c r="B49" s="18">
        <v>2</v>
      </c>
      <c r="C49" s="5">
        <v>200</v>
      </c>
      <c r="D49" s="18">
        <v>100</v>
      </c>
      <c r="E49" s="6">
        <f t="shared" si="11"/>
        <v>1.032362072819047E-3</v>
      </c>
      <c r="F49" s="7">
        <f t="shared" si="12"/>
        <v>3.3352432546138607E-6</v>
      </c>
      <c r="G49" s="7">
        <f t="shared" si="13"/>
        <v>3.3352432546138607E-6</v>
      </c>
      <c r="H49" s="7">
        <f t="shared" si="7"/>
        <v>3.2698463280528047E-7</v>
      </c>
      <c r="J49" s="21">
        <f t="shared" si="8"/>
        <v>3.3333333333333335E-5</v>
      </c>
      <c r="K49" s="6">
        <f t="shared" si="14"/>
        <v>0.20271739999999999</v>
      </c>
      <c r="L49" s="6">
        <f t="shared" si="15"/>
        <v>1.032362072819047E-3</v>
      </c>
      <c r="M49" s="6">
        <f t="shared" si="9"/>
        <v>2.2691688034672899E-4</v>
      </c>
      <c r="N49" s="17">
        <f t="shared" si="10"/>
        <v>262.25282614096221</v>
      </c>
      <c r="O49" s="6">
        <f t="shared" si="16"/>
        <v>0.12446678250600701</v>
      </c>
      <c r="P49" s="6">
        <f t="shared" si="17"/>
        <v>3.3352432546138607E-6</v>
      </c>
    </row>
    <row r="50" spans="2:16">
      <c r="B50" s="18">
        <v>20</v>
      </c>
      <c r="C50" s="5">
        <v>200</v>
      </c>
      <c r="D50" s="18">
        <v>100</v>
      </c>
      <c r="E50" s="6">
        <f t="shared" si="11"/>
        <v>1.032362072819047E-2</v>
      </c>
      <c r="F50" s="7">
        <f t="shared" si="12"/>
        <v>1.2527828316050385E-4</v>
      </c>
      <c r="G50" s="7">
        <f t="shared" si="13"/>
        <v>1.2527828316050385E-4</v>
      </c>
      <c r="H50" s="7">
        <f t="shared" si="7"/>
        <v>1.228218462357881E-5</v>
      </c>
      <c r="J50" s="21">
        <f t="shared" si="8"/>
        <v>3.3333333333333332E-4</v>
      </c>
      <c r="K50" s="6">
        <f t="shared" si="14"/>
        <v>0.20271739999999999</v>
      </c>
      <c r="L50" s="6">
        <f t="shared" si="15"/>
        <v>1.032362072819047E-2</v>
      </c>
      <c r="M50" s="6">
        <f t="shared" si="9"/>
        <v>2.2691688034672899E-4</v>
      </c>
      <c r="N50" s="17">
        <f t="shared" si="10"/>
        <v>2622.5282614096222</v>
      </c>
      <c r="O50" s="6">
        <f t="shared" si="16"/>
        <v>4.6752166581233892E-2</v>
      </c>
      <c r="P50" s="6">
        <f t="shared" si="17"/>
        <v>1.2527828316050385E-4</v>
      </c>
    </row>
    <row r="51" spans="2:16">
      <c r="B51" s="18">
        <v>200</v>
      </c>
      <c r="C51" s="5">
        <v>200</v>
      </c>
      <c r="D51" s="18">
        <v>100</v>
      </c>
      <c r="E51" s="6">
        <f t="shared" si="11"/>
        <v>0.10323620728190469</v>
      </c>
      <c r="F51" s="7">
        <f t="shared" si="12"/>
        <v>6.6411683985422585E-3</v>
      </c>
      <c r="G51" s="7">
        <f t="shared" si="13"/>
        <v>6.6411683985422585E-3</v>
      </c>
      <c r="H51" s="7">
        <f t="shared" si="7"/>
        <v>6.5109494103355475E-4</v>
      </c>
      <c r="J51" s="21">
        <f t="shared" si="8"/>
        <v>3.3333333333333335E-3</v>
      </c>
      <c r="K51" s="6">
        <f t="shared" si="14"/>
        <v>0.20271739999999999</v>
      </c>
      <c r="L51" s="6">
        <f t="shared" si="15"/>
        <v>0.10323620728190469</v>
      </c>
      <c r="M51" s="6">
        <f t="shared" si="9"/>
        <v>2.2691688034672899E-4</v>
      </c>
      <c r="N51" s="17">
        <f t="shared" si="10"/>
        <v>26225.282614096221</v>
      </c>
      <c r="O51" s="6">
        <f t="shared" si="16"/>
        <v>2.4783945264071208E-2</v>
      </c>
      <c r="P51" s="6">
        <f t="shared" si="17"/>
        <v>6.6411683985422585E-3</v>
      </c>
    </row>
    <row r="52" spans="2:16">
      <c r="B52" s="18">
        <v>50000</v>
      </c>
      <c r="C52" s="5">
        <v>200</v>
      </c>
      <c r="D52" s="18">
        <v>100</v>
      </c>
      <c r="E52" s="6">
        <f t="shared" si="11"/>
        <v>25.809051820476174</v>
      </c>
      <c r="F52" s="7">
        <f t="shared" si="12"/>
        <v>239.22660540660945</v>
      </c>
      <c r="G52" s="7">
        <f t="shared" si="13"/>
        <v>239.22660540660945</v>
      </c>
      <c r="H52" s="7">
        <f t="shared" si="7"/>
        <v>23.453588765353871</v>
      </c>
      <c r="J52" s="21">
        <f t="shared" si="8"/>
        <v>0.83333333333333337</v>
      </c>
      <c r="K52" s="6">
        <f t="shared" si="14"/>
        <v>0.20271739999999999</v>
      </c>
      <c r="L52" s="6">
        <f t="shared" si="15"/>
        <v>25.809051820476174</v>
      </c>
      <c r="M52" s="6">
        <f t="shared" si="9"/>
        <v>2.2691688034672899E-4</v>
      </c>
      <c r="N52" s="17">
        <f t="shared" si="10"/>
        <v>6556320.6535240561</v>
      </c>
      <c r="O52" s="6">
        <f t="shared" si="16"/>
        <v>1.4284183115509334E-2</v>
      </c>
      <c r="P52" s="6">
        <f t="shared" si="17"/>
        <v>239.22660540660945</v>
      </c>
    </row>
    <row r="53" spans="2:16" s="27" customFormat="1">
      <c r="B53" s="24">
        <v>2</v>
      </c>
      <c r="C53" s="24">
        <v>250</v>
      </c>
      <c r="D53" s="24">
        <v>100</v>
      </c>
      <c r="E53" s="25">
        <f t="shared" si="11"/>
        <v>6.5495463437387029E-4</v>
      </c>
      <c r="F53" s="26">
        <f t="shared" si="12"/>
        <v>1.2167551376508874E-6</v>
      </c>
      <c r="G53" s="26">
        <f t="shared" si="13"/>
        <v>1.2167551376508874E-6</v>
      </c>
      <c r="H53" s="26">
        <f t="shared" si="7"/>
        <v>1.1928971937753798E-7</v>
      </c>
      <c r="J53" s="21">
        <f t="shared" si="8"/>
        <v>3.3333333333333335E-5</v>
      </c>
      <c r="K53" s="25">
        <f t="shared" si="14"/>
        <v>0.25450799999999996</v>
      </c>
      <c r="L53" s="25">
        <f t="shared" si="15"/>
        <v>6.5495463437387029E-4</v>
      </c>
      <c r="M53" s="25">
        <f t="shared" si="9"/>
        <v>1.8074088044383677E-4</v>
      </c>
      <c r="N53" s="28">
        <f t="shared" si="10"/>
        <v>208.88620812684829</v>
      </c>
      <c r="O53" s="25">
        <f t="shared" si="16"/>
        <v>0.14163845829006599</v>
      </c>
      <c r="P53" s="25">
        <f t="shared" si="17"/>
        <v>1.2167551376508874E-6</v>
      </c>
    </row>
    <row r="54" spans="2:16" s="27" customFormat="1">
      <c r="B54" s="24">
        <v>20</v>
      </c>
      <c r="C54" s="24">
        <v>250</v>
      </c>
      <c r="D54" s="24">
        <v>100</v>
      </c>
      <c r="E54" s="25">
        <f t="shared" si="11"/>
        <v>6.5495463437387023E-3</v>
      </c>
      <c r="F54" s="26">
        <f t="shared" si="12"/>
        <v>4.336459053753625E-5</v>
      </c>
      <c r="G54" s="26">
        <f t="shared" si="13"/>
        <v>4.336459053753625E-5</v>
      </c>
      <c r="H54" s="26">
        <f t="shared" si="7"/>
        <v>4.2514304448564955E-6</v>
      </c>
      <c r="J54" s="21">
        <f t="shared" si="8"/>
        <v>3.3333333333333332E-4</v>
      </c>
      <c r="K54" s="25">
        <f t="shared" si="14"/>
        <v>0.25450799999999996</v>
      </c>
      <c r="L54" s="25">
        <f t="shared" si="15"/>
        <v>6.5495463437387023E-3</v>
      </c>
      <c r="M54" s="25">
        <f t="shared" si="9"/>
        <v>1.8074088044383677E-4</v>
      </c>
      <c r="N54" s="28">
        <f t="shared" si="10"/>
        <v>2088.8620812684831</v>
      </c>
      <c r="O54" s="25">
        <f t="shared" si="16"/>
        <v>5.0479291667301057E-2</v>
      </c>
      <c r="P54" s="25">
        <f t="shared" si="17"/>
        <v>4.336459053753625E-5</v>
      </c>
    </row>
    <row r="55" spans="2:16" s="27" customFormat="1">
      <c r="B55" s="24">
        <v>200</v>
      </c>
      <c r="C55" s="24">
        <v>250</v>
      </c>
      <c r="D55" s="24">
        <v>100</v>
      </c>
      <c r="E55" s="25">
        <f t="shared" si="11"/>
        <v>6.5495463437387019E-2</v>
      </c>
      <c r="F55" s="26">
        <f t="shared" si="12"/>
        <v>2.2328493287863392E-3</v>
      </c>
      <c r="G55" s="26">
        <f t="shared" si="13"/>
        <v>2.2328493287863392E-3</v>
      </c>
      <c r="H55" s="26">
        <f t="shared" si="7"/>
        <v>2.189067969398372E-4</v>
      </c>
      <c r="J55" s="21">
        <f t="shared" si="8"/>
        <v>3.3333333333333335E-3</v>
      </c>
      <c r="K55" s="25">
        <f t="shared" si="14"/>
        <v>0.25450799999999996</v>
      </c>
      <c r="L55" s="25">
        <f t="shared" si="15"/>
        <v>6.5495463437387019E-2</v>
      </c>
      <c r="M55" s="25">
        <f t="shared" si="9"/>
        <v>1.8074088044383677E-4</v>
      </c>
      <c r="N55" s="28">
        <f t="shared" si="10"/>
        <v>20888.620812684829</v>
      </c>
      <c r="O55" s="25">
        <f t="shared" si="16"/>
        <v>2.5991863665674259E-2</v>
      </c>
      <c r="P55" s="25">
        <f t="shared" si="17"/>
        <v>2.2328493287863392E-3</v>
      </c>
    </row>
    <row r="56" spans="2:16" s="27" customFormat="1">
      <c r="B56" s="24">
        <v>60000</v>
      </c>
      <c r="C56" s="24">
        <v>250</v>
      </c>
      <c r="D56" s="24">
        <v>100</v>
      </c>
      <c r="E56" s="25">
        <f t="shared" si="11"/>
        <v>19.648639031216106</v>
      </c>
      <c r="F56" s="26">
        <f t="shared" si="12"/>
        <v>105.81988133048992</v>
      </c>
      <c r="G56" s="26">
        <f t="shared" si="13"/>
        <v>105.81988133048992</v>
      </c>
      <c r="H56" s="26">
        <f t="shared" si="7"/>
        <v>10.374498169655876</v>
      </c>
      <c r="J56" s="21">
        <f t="shared" si="8"/>
        <v>1</v>
      </c>
      <c r="K56" s="25">
        <f t="shared" si="14"/>
        <v>0.25450799999999996</v>
      </c>
      <c r="L56" s="25">
        <f t="shared" si="15"/>
        <v>19.648639031216106</v>
      </c>
      <c r="M56" s="25">
        <f t="shared" si="9"/>
        <v>1.8074088044383677E-4</v>
      </c>
      <c r="N56" s="28">
        <f t="shared" si="10"/>
        <v>6266586.2438054485</v>
      </c>
      <c r="O56" s="25">
        <f t="shared" si="16"/>
        <v>1.3686826529475619E-2</v>
      </c>
      <c r="P56" s="25">
        <f t="shared" si="17"/>
        <v>105.81988133048992</v>
      </c>
    </row>
    <row r="57" spans="2:16">
      <c r="B57" s="18">
        <v>2</v>
      </c>
      <c r="C57" s="18">
        <v>300</v>
      </c>
      <c r="D57" s="18">
        <v>100</v>
      </c>
      <c r="E57" s="6">
        <f t="shared" si="11"/>
        <v>4.6140629299427438E-4</v>
      </c>
      <c r="F57" s="7">
        <f t="shared" si="12"/>
        <v>5.6330872557497016E-7</v>
      </c>
      <c r="G57" s="7">
        <f t="shared" si="13"/>
        <v>5.6330872557497016E-7</v>
      </c>
      <c r="H57" s="7">
        <f t="shared" si="7"/>
        <v>5.5226345644604919E-8</v>
      </c>
      <c r="J57" s="21">
        <f t="shared" si="8"/>
        <v>3.3333333333333335E-5</v>
      </c>
      <c r="K57" s="6">
        <f t="shared" si="14"/>
        <v>0.30322520000000003</v>
      </c>
      <c r="L57" s="6">
        <f t="shared" si="15"/>
        <v>4.6140629299427438E-4</v>
      </c>
      <c r="M57" s="6">
        <f t="shared" si="9"/>
        <v>1.5170243106443659E-4</v>
      </c>
      <c r="N57" s="17">
        <f t="shared" si="10"/>
        <v>175.32583392787905</v>
      </c>
      <c r="O57" s="6">
        <f t="shared" si="16"/>
        <v>0.15741414171631415</v>
      </c>
      <c r="P57" s="6">
        <f t="shared" si="17"/>
        <v>5.6330872557497016E-7</v>
      </c>
    </row>
    <row r="58" spans="2:16">
      <c r="B58" s="18">
        <v>20</v>
      </c>
      <c r="C58" s="18">
        <v>300</v>
      </c>
      <c r="D58" s="18">
        <v>100</v>
      </c>
      <c r="E58" s="6">
        <f t="shared" si="11"/>
        <v>4.614062929942743E-3</v>
      </c>
      <c r="F58" s="7">
        <f t="shared" si="12"/>
        <v>1.9210909077874875E-5</v>
      </c>
      <c r="G58" s="7">
        <f t="shared" si="13"/>
        <v>1.9210909077874875E-5</v>
      </c>
      <c r="H58" s="7">
        <f t="shared" si="7"/>
        <v>1.8834224586151839E-6</v>
      </c>
      <c r="J58" s="21">
        <f t="shared" si="8"/>
        <v>3.3333333333333332E-4</v>
      </c>
      <c r="K58" s="6">
        <f t="shared" si="14"/>
        <v>0.30322520000000003</v>
      </c>
      <c r="L58" s="6">
        <f t="shared" si="15"/>
        <v>4.614062929942743E-3</v>
      </c>
      <c r="M58" s="6">
        <f t="shared" si="9"/>
        <v>1.5170243106443659E-4</v>
      </c>
      <c r="N58" s="17">
        <f t="shared" si="10"/>
        <v>1753.2583392787899</v>
      </c>
      <c r="O58" s="6">
        <f t="shared" si="16"/>
        <v>5.3684039085266269E-2</v>
      </c>
      <c r="P58" s="6">
        <f t="shared" si="17"/>
        <v>1.9210909077874875E-5</v>
      </c>
    </row>
    <row r="59" spans="2:16">
      <c r="B59" s="18">
        <v>200</v>
      </c>
      <c r="C59" s="18">
        <v>300</v>
      </c>
      <c r="D59" s="18">
        <v>100</v>
      </c>
      <c r="E59" s="6">
        <f t="shared" si="11"/>
        <v>4.614062929942743E-2</v>
      </c>
      <c r="F59" s="7">
        <f t="shared" si="12"/>
        <v>9.6769685079625657E-4</v>
      </c>
      <c r="G59" s="7">
        <f t="shared" si="13"/>
        <v>9.6769685079625657E-4</v>
      </c>
      <c r="H59" s="7">
        <f t="shared" si="7"/>
        <v>9.4872240274142809E-5</v>
      </c>
      <c r="J59" s="21">
        <f t="shared" si="8"/>
        <v>3.3333333333333335E-3</v>
      </c>
      <c r="K59" s="6">
        <f t="shared" si="14"/>
        <v>0.30322520000000003</v>
      </c>
      <c r="L59" s="6">
        <f t="shared" si="15"/>
        <v>4.614062929942743E-2</v>
      </c>
      <c r="M59" s="6">
        <f t="shared" si="9"/>
        <v>1.5170243106443659E-4</v>
      </c>
      <c r="N59" s="17">
        <f t="shared" si="10"/>
        <v>17532.583392787899</v>
      </c>
      <c r="O59" s="6">
        <f t="shared" si="16"/>
        <v>2.7041862178539888E-2</v>
      </c>
      <c r="P59" s="6">
        <f t="shared" si="17"/>
        <v>9.6769685079625657E-4</v>
      </c>
    </row>
    <row r="60" spans="2:16">
      <c r="B60" s="18">
        <v>100000</v>
      </c>
      <c r="C60" s="18">
        <v>300</v>
      </c>
      <c r="D60" s="18">
        <v>100</v>
      </c>
      <c r="E60" s="6">
        <f t="shared" si="11"/>
        <v>23.070314649713715</v>
      </c>
      <c r="F60" s="7">
        <f t="shared" si="12"/>
        <v>117.96898962507375</v>
      </c>
      <c r="G60" s="7">
        <f t="shared" si="13"/>
        <v>117.96898962507376</v>
      </c>
      <c r="H60" s="7">
        <f t="shared" si="7"/>
        <v>11.565587218144486</v>
      </c>
      <c r="J60" s="21">
        <f t="shared" si="8"/>
        <v>1.6666666666666667</v>
      </c>
      <c r="K60" s="6">
        <f t="shared" si="14"/>
        <v>0.30322520000000003</v>
      </c>
      <c r="L60" s="6">
        <f t="shared" si="15"/>
        <v>23.070314649713715</v>
      </c>
      <c r="M60" s="6">
        <f t="shared" si="9"/>
        <v>1.5170243106443659E-4</v>
      </c>
      <c r="N60" s="17">
        <f t="shared" si="10"/>
        <v>8766291.6963939499</v>
      </c>
      <c r="O60" s="6">
        <f t="shared" si="16"/>
        <v>1.3186365776256946E-2</v>
      </c>
      <c r="P60" s="6">
        <f t="shared" si="17"/>
        <v>117.96898962507375</v>
      </c>
    </row>
    <row r="61" spans="2:16" s="27" customFormat="1">
      <c r="B61" s="24">
        <v>2</v>
      </c>
      <c r="C61" s="24">
        <v>350</v>
      </c>
      <c r="D61" s="24">
        <v>100</v>
      </c>
      <c r="E61" s="25">
        <f t="shared" si="11"/>
        <v>3.8166458453903142E-4</v>
      </c>
      <c r="F61" s="26">
        <f t="shared" si="12"/>
        <v>3.72087599351372E-7</v>
      </c>
      <c r="G61" s="26">
        <f t="shared" si="13"/>
        <v>3.72087599351372E-7</v>
      </c>
      <c r="H61" s="26">
        <f t="shared" si="7"/>
        <v>3.6479176406997255E-8</v>
      </c>
      <c r="J61" s="21">
        <f t="shared" si="8"/>
        <v>3.3333333333333335E-5</v>
      </c>
      <c r="K61" s="25">
        <f t="shared" si="14"/>
        <v>0.33340039999999999</v>
      </c>
      <c r="L61" s="25">
        <f t="shared" si="15"/>
        <v>3.8166458453903142E-4</v>
      </c>
      <c r="M61" s="25">
        <f t="shared" si="9"/>
        <v>1.3797223998531497E-4</v>
      </c>
      <c r="N61" s="28">
        <f t="shared" si="10"/>
        <v>159.45755031472041</v>
      </c>
      <c r="O61" s="25">
        <f t="shared" si="16"/>
        <v>0.16708851166614805</v>
      </c>
      <c r="P61" s="25">
        <f t="shared" si="17"/>
        <v>3.72087599351372E-7</v>
      </c>
    </row>
    <row r="62" spans="2:16" s="27" customFormat="1">
      <c r="B62" s="24">
        <v>20</v>
      </c>
      <c r="C62" s="24">
        <v>350</v>
      </c>
      <c r="D62" s="24">
        <v>100</v>
      </c>
      <c r="E62" s="25">
        <f t="shared" si="11"/>
        <v>3.8166458453903138E-3</v>
      </c>
      <c r="F62" s="26">
        <f t="shared" si="12"/>
        <v>1.2371587286070775E-5</v>
      </c>
      <c r="G62" s="26">
        <f t="shared" si="13"/>
        <v>1.2371587286070773E-5</v>
      </c>
      <c r="H62" s="26">
        <f t="shared" si="7"/>
        <v>1.2129007143206641E-6</v>
      </c>
      <c r="J62" s="21">
        <f t="shared" si="8"/>
        <v>3.3333333333333332E-4</v>
      </c>
      <c r="K62" s="25">
        <f t="shared" si="14"/>
        <v>0.33340039999999999</v>
      </c>
      <c r="L62" s="25">
        <f t="shared" si="15"/>
        <v>3.8166458453903138E-3</v>
      </c>
      <c r="M62" s="25">
        <f t="shared" si="9"/>
        <v>1.3797223998531497E-4</v>
      </c>
      <c r="N62" s="28">
        <f t="shared" si="10"/>
        <v>1594.5755031472038</v>
      </c>
      <c r="O62" s="25">
        <f t="shared" si="16"/>
        <v>5.5555468932071077E-2</v>
      </c>
      <c r="P62" s="25">
        <f t="shared" si="17"/>
        <v>1.2371587286070775E-5</v>
      </c>
    </row>
    <row r="63" spans="2:16" s="27" customFormat="1">
      <c r="B63" s="24">
        <v>200</v>
      </c>
      <c r="C63" s="24">
        <v>350</v>
      </c>
      <c r="D63" s="24">
        <v>100</v>
      </c>
      <c r="E63" s="25">
        <f t="shared" si="11"/>
        <v>3.8166458453903131E-2</v>
      </c>
      <c r="F63" s="26">
        <f t="shared" si="12"/>
        <v>6.1582551983956405E-4</v>
      </c>
      <c r="G63" s="26">
        <f t="shared" si="13"/>
        <v>6.1582551983956405E-4</v>
      </c>
      <c r="H63" s="26">
        <f t="shared" si="7"/>
        <v>6.0375050964663144E-5</v>
      </c>
      <c r="J63" s="21">
        <f t="shared" si="8"/>
        <v>3.3333333333333335E-3</v>
      </c>
      <c r="K63" s="25">
        <f t="shared" si="14"/>
        <v>0.33340039999999999</v>
      </c>
      <c r="L63" s="25">
        <f t="shared" si="15"/>
        <v>3.8166458453903131E-2</v>
      </c>
      <c r="M63" s="25">
        <f t="shared" si="9"/>
        <v>1.3797223998531497E-4</v>
      </c>
      <c r="N63" s="28">
        <f t="shared" si="10"/>
        <v>15945.755031472036</v>
      </c>
      <c r="O63" s="25">
        <f t="shared" si="16"/>
        <v>2.7654071174475256E-2</v>
      </c>
      <c r="P63" s="25">
        <f t="shared" si="17"/>
        <v>6.1582551983956405E-4</v>
      </c>
    </row>
    <row r="64" spans="2:16" s="27" customFormat="1">
      <c r="B64" s="24">
        <v>100000</v>
      </c>
      <c r="C64" s="24">
        <v>350</v>
      </c>
      <c r="D64" s="24">
        <v>100</v>
      </c>
      <c r="E64" s="25">
        <f t="shared" si="11"/>
        <v>19.08322922695157</v>
      </c>
      <c r="F64" s="26">
        <f t="shared" si="12"/>
        <v>72.246445223732394</v>
      </c>
      <c r="G64" s="26">
        <f t="shared" si="13"/>
        <v>72.246445223732394</v>
      </c>
      <c r="H64" s="26">
        <f t="shared" si="7"/>
        <v>7.0829848258561174</v>
      </c>
      <c r="J64" s="21">
        <f t="shared" si="8"/>
        <v>1.6666666666666667</v>
      </c>
      <c r="K64" s="25">
        <f t="shared" si="14"/>
        <v>0.33340039999999999</v>
      </c>
      <c r="L64" s="25">
        <f t="shared" si="15"/>
        <v>19.08322922695157</v>
      </c>
      <c r="M64" s="25">
        <f t="shared" si="9"/>
        <v>1.3797223998531497E-4</v>
      </c>
      <c r="N64" s="28">
        <f t="shared" si="10"/>
        <v>7972877.5157360192</v>
      </c>
      <c r="O64" s="25">
        <f t="shared" si="16"/>
        <v>1.2977106494972284E-2</v>
      </c>
      <c r="P64" s="25">
        <f t="shared" si="17"/>
        <v>72.246445223732394</v>
      </c>
    </row>
    <row r="65" spans="2:16">
      <c r="B65" s="18">
        <v>2</v>
      </c>
      <c r="C65" s="18">
        <v>400</v>
      </c>
      <c r="D65" s="18">
        <v>100</v>
      </c>
      <c r="E65" s="6">
        <f t="shared" si="11"/>
        <v>2.9225647676884583E-4</v>
      </c>
      <c r="F65" s="7">
        <f t="shared" si="12"/>
        <v>2.0828580758360158E-7</v>
      </c>
      <c r="G65" s="7">
        <f t="shared" si="13"/>
        <v>2.082858075836016E-7</v>
      </c>
      <c r="H65" s="7">
        <f t="shared" si="7"/>
        <v>2.0420177214078591E-8</v>
      </c>
      <c r="J65" s="21">
        <f t="shared" si="8"/>
        <v>3.3333333333333335E-5</v>
      </c>
      <c r="K65" s="6">
        <f t="shared" si="14"/>
        <v>0.38100000000000001</v>
      </c>
      <c r="L65" s="6">
        <f t="shared" si="15"/>
        <v>2.9225647676884583E-4</v>
      </c>
      <c r="M65" s="6">
        <f t="shared" si="9"/>
        <v>1.2073490813648294E-4</v>
      </c>
      <c r="N65" s="17">
        <f t="shared" si="10"/>
        <v>139.5359870287347</v>
      </c>
      <c r="O65" s="6">
        <f t="shared" si="16"/>
        <v>0.18228686180678827</v>
      </c>
      <c r="P65" s="6">
        <f t="shared" si="17"/>
        <v>2.0828580758360158E-7</v>
      </c>
    </row>
    <row r="66" spans="2:16">
      <c r="B66" s="18">
        <v>20</v>
      </c>
      <c r="C66" s="18">
        <v>400</v>
      </c>
      <c r="D66" s="18">
        <v>100</v>
      </c>
      <c r="E66" s="6">
        <f t="shared" si="11"/>
        <v>2.9225647676884578E-3</v>
      </c>
      <c r="F66" s="7">
        <f t="shared" si="12"/>
        <v>6.6689146985725709E-6</v>
      </c>
      <c r="G66" s="7">
        <f t="shared" si="13"/>
        <v>6.6689146985725709E-6</v>
      </c>
      <c r="H66" s="7">
        <f t="shared" si="7"/>
        <v>6.5381516652672273E-7</v>
      </c>
      <c r="J66" s="21">
        <f t="shared" si="8"/>
        <v>3.3333333333333332E-4</v>
      </c>
      <c r="K66" s="6">
        <f t="shared" si="14"/>
        <v>0.38100000000000001</v>
      </c>
      <c r="L66" s="6">
        <f t="shared" si="15"/>
        <v>2.9225647676884578E-3</v>
      </c>
      <c r="M66" s="6">
        <f t="shared" si="9"/>
        <v>1.2073490813648294E-4</v>
      </c>
      <c r="N66" s="17">
        <f t="shared" si="10"/>
        <v>1395.3598702873467</v>
      </c>
      <c r="O66" s="6">
        <f t="shared" si="16"/>
        <v>5.836477992251194E-2</v>
      </c>
      <c r="P66" s="6">
        <f t="shared" si="17"/>
        <v>6.6689146985725709E-6</v>
      </c>
    </row>
    <row r="67" spans="2:16">
      <c r="B67" s="18">
        <v>200</v>
      </c>
      <c r="C67" s="18">
        <v>400</v>
      </c>
      <c r="D67" s="18">
        <v>100</v>
      </c>
      <c r="E67" s="6">
        <f t="shared" si="11"/>
        <v>2.9225647676884573E-2</v>
      </c>
      <c r="F67" s="7">
        <f t="shared" si="12"/>
        <v>3.2642081606775407E-4</v>
      </c>
      <c r="G67" s="7">
        <f t="shared" si="13"/>
        <v>3.2642081606775402E-4</v>
      </c>
      <c r="H67" s="7">
        <f t="shared" si="7"/>
        <v>3.2002040790956275E-5</v>
      </c>
      <c r="J67" s="21">
        <f t="shared" si="8"/>
        <v>3.3333333333333335E-3</v>
      </c>
      <c r="K67" s="6">
        <f t="shared" si="14"/>
        <v>0.38100000000000001</v>
      </c>
      <c r="L67" s="6">
        <f t="shared" si="15"/>
        <v>2.9225647676884573E-2</v>
      </c>
      <c r="M67" s="6">
        <f t="shared" si="9"/>
        <v>1.2073490813648294E-4</v>
      </c>
      <c r="N67" s="17">
        <f t="shared" si="10"/>
        <v>13953.598702873462</v>
      </c>
      <c r="O67" s="6">
        <f t="shared" si="16"/>
        <v>2.8567585511326227E-2</v>
      </c>
      <c r="P67" s="6">
        <f t="shared" si="17"/>
        <v>3.2642081606775407E-4</v>
      </c>
    </row>
    <row r="68" spans="2:16">
      <c r="B68" s="18">
        <v>100000</v>
      </c>
      <c r="C68" s="18">
        <v>400</v>
      </c>
      <c r="D68" s="18">
        <v>100</v>
      </c>
      <c r="E68" s="6">
        <f t="shared" si="11"/>
        <v>14.612823838442287</v>
      </c>
      <c r="F68" s="7">
        <f t="shared" si="12"/>
        <v>36.284384792056379</v>
      </c>
      <c r="G68" s="7">
        <f t="shared" si="13"/>
        <v>36.284384792056379</v>
      </c>
      <c r="H68" s="7">
        <f t="shared" si="7"/>
        <v>3.557292626672194</v>
      </c>
      <c r="J68" s="21">
        <f t="shared" si="8"/>
        <v>1.6666666666666667</v>
      </c>
      <c r="K68" s="6">
        <f t="shared" si="14"/>
        <v>0.38100000000000001</v>
      </c>
      <c r="L68" s="6">
        <f t="shared" si="15"/>
        <v>14.612823838442287</v>
      </c>
      <c r="M68" s="6">
        <f t="shared" si="9"/>
        <v>1.2073490813648294E-4</v>
      </c>
      <c r="N68" s="17">
        <f t="shared" si="10"/>
        <v>6976799.3514367305</v>
      </c>
      <c r="O68" s="6">
        <f t="shared" si="16"/>
        <v>1.2702097589974539E-2</v>
      </c>
      <c r="P68" s="6">
        <f t="shared" si="17"/>
        <v>36.284384792056379</v>
      </c>
    </row>
    <row r="69" spans="2:16" s="27" customFormat="1">
      <c r="B69" s="24">
        <v>2</v>
      </c>
      <c r="C69" s="24">
        <v>500</v>
      </c>
      <c r="D69" s="24">
        <v>100</v>
      </c>
      <c r="E69" s="25">
        <f t="shared" si="11"/>
        <v>1.8577376514079404E-4</v>
      </c>
      <c r="F69" s="26">
        <f t="shared" si="12"/>
        <v>7.8513496273431019E-8</v>
      </c>
      <c r="G69" s="26">
        <f t="shared" si="13"/>
        <v>7.8513496273431019E-8</v>
      </c>
      <c r="H69" s="26">
        <f t="shared" si="7"/>
        <v>7.6974015954344147E-9</v>
      </c>
      <c r="J69" s="21">
        <f t="shared" si="8"/>
        <v>3.3333333333333335E-5</v>
      </c>
      <c r="K69" s="25">
        <f t="shared" si="14"/>
        <v>0.47787559999999996</v>
      </c>
      <c r="L69" s="25">
        <f t="shared" si="15"/>
        <v>1.8577376514079404E-4</v>
      </c>
      <c r="M69" s="25">
        <f t="shared" si="9"/>
        <v>9.6259361222878934E-5</v>
      </c>
      <c r="N69" s="28">
        <f t="shared" si="10"/>
        <v>111.24905949989477</v>
      </c>
      <c r="O69" s="25">
        <f t="shared" si="16"/>
        <v>0.21329929022060293</v>
      </c>
      <c r="P69" s="208">
        <f t="shared" si="17"/>
        <v>7.8513496273431019E-8</v>
      </c>
    </row>
    <row r="70" spans="2:16" s="27" customFormat="1">
      <c r="B70" s="24">
        <v>20</v>
      </c>
      <c r="C70" s="24">
        <v>500</v>
      </c>
      <c r="D70" s="24">
        <v>100</v>
      </c>
      <c r="E70" s="25">
        <f t="shared" si="11"/>
        <v>1.8577376514079401E-3</v>
      </c>
      <c r="F70" s="26">
        <f t="shared" si="12"/>
        <v>2.3433227818054941E-6</v>
      </c>
      <c r="G70" s="26">
        <f t="shared" si="13"/>
        <v>2.3433227818054941E-6</v>
      </c>
      <c r="H70" s="26">
        <f t="shared" si="7"/>
        <v>2.2973752762798964E-7</v>
      </c>
      <c r="J70" s="21">
        <f t="shared" si="8"/>
        <v>3.3333333333333332E-4</v>
      </c>
      <c r="K70" s="25">
        <f t="shared" si="14"/>
        <v>0.47787559999999996</v>
      </c>
      <c r="L70" s="25">
        <f t="shared" si="15"/>
        <v>1.8577376514079401E-3</v>
      </c>
      <c r="M70" s="25">
        <f t="shared" si="9"/>
        <v>9.6259361222878934E-5</v>
      </c>
      <c r="N70" s="28">
        <f t="shared" si="10"/>
        <v>1112.4905949989477</v>
      </c>
      <c r="O70" s="25">
        <f t="shared" si="16"/>
        <v>6.3661549904258041E-2</v>
      </c>
      <c r="P70" s="208">
        <f t="shared" si="17"/>
        <v>2.3433227818054941E-6</v>
      </c>
    </row>
    <row r="71" spans="2:16" s="27" customFormat="1">
      <c r="B71" s="24">
        <v>200</v>
      </c>
      <c r="C71" s="24">
        <v>500</v>
      </c>
      <c r="D71" s="24">
        <v>100</v>
      </c>
      <c r="E71" s="25">
        <f t="shared" si="11"/>
        <v>1.85773765140794E-2</v>
      </c>
      <c r="F71" s="26">
        <f t="shared" si="12"/>
        <v>1.1139270096990245E-4</v>
      </c>
      <c r="G71" s="26">
        <f t="shared" si="13"/>
        <v>1.1139270096990245E-4</v>
      </c>
      <c r="H71" s="26">
        <f t="shared" si="7"/>
        <v>1.0920853036264947E-5</v>
      </c>
      <c r="J71" s="21">
        <f t="shared" si="8"/>
        <v>3.3333333333333335E-3</v>
      </c>
      <c r="K71" s="25">
        <f t="shared" si="14"/>
        <v>0.47787559999999996</v>
      </c>
      <c r="L71" s="25">
        <f t="shared" si="15"/>
        <v>1.85773765140794E-2</v>
      </c>
      <c r="M71" s="25">
        <f t="shared" si="9"/>
        <v>9.6259361222878934E-5</v>
      </c>
      <c r="N71" s="28">
        <f t="shared" si="10"/>
        <v>11124.905949989474</v>
      </c>
      <c r="O71" s="25">
        <f t="shared" si="16"/>
        <v>3.0262292701740814E-2</v>
      </c>
      <c r="P71" s="208">
        <f t="shared" si="17"/>
        <v>1.1139270096990245E-4</v>
      </c>
    </row>
    <row r="72" spans="2:16" s="27" customFormat="1">
      <c r="B72" s="24">
        <v>100000</v>
      </c>
      <c r="C72" s="24">
        <v>500</v>
      </c>
      <c r="D72" s="24">
        <v>100</v>
      </c>
      <c r="E72" s="25">
        <f t="shared" si="11"/>
        <v>9.2886882570397002</v>
      </c>
      <c r="F72" s="26">
        <f t="shared" si="12"/>
        <v>11.309817651011123</v>
      </c>
      <c r="G72" s="26">
        <f t="shared" si="13"/>
        <v>11.309817651011123</v>
      </c>
      <c r="H72" s="26">
        <f t="shared" si="7"/>
        <v>1.1088056520599141</v>
      </c>
      <c r="J72" s="21">
        <f t="shared" si="8"/>
        <v>1.6666666666666667</v>
      </c>
      <c r="K72" s="25">
        <f t="shared" si="14"/>
        <v>0.47787559999999996</v>
      </c>
      <c r="L72" s="25">
        <f t="shared" si="15"/>
        <v>9.2886882570397002</v>
      </c>
      <c r="M72" s="25">
        <f t="shared" si="9"/>
        <v>9.6259361222878934E-5</v>
      </c>
      <c r="N72" s="28">
        <f t="shared" si="10"/>
        <v>5562452.9749947367</v>
      </c>
      <c r="O72" s="25">
        <f t="shared" si="16"/>
        <v>1.2290249151986716E-2</v>
      </c>
      <c r="P72" s="208">
        <f t="shared" si="17"/>
        <v>11.309817651011123</v>
      </c>
    </row>
    <row r="73" spans="2:16" s="19" customFormat="1">
      <c r="B73" s="18">
        <v>2</v>
      </c>
      <c r="C73" s="18">
        <v>125</v>
      </c>
      <c r="D73" s="18">
        <v>100</v>
      </c>
      <c r="E73" s="21">
        <f>L73</f>
        <v>2.5815390448191561E-3</v>
      </c>
      <c r="F73" s="22">
        <f>P73</f>
        <v>2.6025210280155382E-5</v>
      </c>
      <c r="G73" s="22">
        <f>F73*D73/100</f>
        <v>2.6025210280155382E-5</v>
      </c>
      <c r="H73" s="22">
        <f t="shared" si="7"/>
        <v>2.5514912039368024E-6</v>
      </c>
      <c r="J73" s="21">
        <f>B73/1000/60</f>
        <v>3.3333333333333335E-5</v>
      </c>
      <c r="K73" s="21">
        <f t="shared" si="14"/>
        <v>0.12819399999999997</v>
      </c>
      <c r="L73" s="21">
        <f>J73/22*7/K73^2*4</f>
        <v>2.5815390448191561E-3</v>
      </c>
      <c r="M73" s="21">
        <f t="shared" si="9"/>
        <v>3.5883114654352004E-4</v>
      </c>
      <c r="N73" s="23">
        <f t="shared" si="10"/>
        <v>414.70904299692592</v>
      </c>
      <c r="O73" s="21">
        <f>0.25/(LOG(M73/3.7+5.74/N73^0.9))^2</f>
        <v>9.8220819481734542E-2</v>
      </c>
      <c r="P73" s="207">
        <f>O73*100/K73*L73^2/2/9.81</f>
        <v>2.6025210280155382E-5</v>
      </c>
    </row>
    <row r="74" spans="2:16" s="19" customFormat="1">
      <c r="B74" s="18">
        <v>20</v>
      </c>
      <c r="C74" s="18">
        <v>125</v>
      </c>
      <c r="D74" s="18">
        <v>100</v>
      </c>
      <c r="E74" s="21">
        <f>L74</f>
        <v>2.5815390448191561E-2</v>
      </c>
      <c r="F74" s="22">
        <f>P74</f>
        <v>1.0735407832775149E-3</v>
      </c>
      <c r="G74" s="22">
        <f>F74*D74/100</f>
        <v>1.0735407832775149E-3</v>
      </c>
      <c r="H74" s="22">
        <f t="shared" ref="H74:H76" si="18">G74/10.2</f>
        <v>1.0524909639975636E-4</v>
      </c>
      <c r="J74" s="21">
        <f>B74/1000/60</f>
        <v>3.3333333333333332E-4</v>
      </c>
      <c r="K74" s="21">
        <f t="shared" si="14"/>
        <v>0.12819399999999997</v>
      </c>
      <c r="L74" s="21">
        <f>J74/22*7/K74^2*4</f>
        <v>2.5815390448191561E-2</v>
      </c>
      <c r="M74" s="21">
        <f t="shared" ref="M74:M107" si="19">$C$5/1000/K74</f>
        <v>3.5883114654352004E-4</v>
      </c>
      <c r="N74" s="23">
        <f t="shared" ref="N74:N107" si="20">L74*K74/$C$4*$C$3</f>
        <v>4147.0904299692584</v>
      </c>
      <c r="O74" s="21">
        <f>0.25/(LOG(M74/3.7+5.74/N74^0.9))^2</f>
        <v>4.0516120463773307E-2</v>
      </c>
      <c r="P74" s="207">
        <f>O74*100/K74*L74^2/2/9.81</f>
        <v>1.0735407832775149E-3</v>
      </c>
    </row>
    <row r="75" spans="2:16" s="19" customFormat="1">
      <c r="B75" s="18">
        <v>200</v>
      </c>
      <c r="C75" s="18">
        <v>125</v>
      </c>
      <c r="D75" s="18">
        <v>100</v>
      </c>
      <c r="E75" s="21">
        <f>L75</f>
        <v>0.25815390448191555</v>
      </c>
      <c r="F75" s="22">
        <f>P75</f>
        <v>6.0719320422002399E-2</v>
      </c>
      <c r="G75" s="22">
        <f>F75*D75/100</f>
        <v>6.0719320422002399E-2</v>
      </c>
      <c r="H75" s="22">
        <f t="shared" si="18"/>
        <v>5.9528745511767062E-3</v>
      </c>
      <c r="J75" s="21">
        <f>B75/1000/60</f>
        <v>3.3333333333333335E-3</v>
      </c>
      <c r="K75" s="21">
        <f t="shared" si="14"/>
        <v>0.12819399999999997</v>
      </c>
      <c r="L75" s="21">
        <f>J75/22*7/K75^2*4</f>
        <v>0.25815390448191555</v>
      </c>
      <c r="M75" s="21">
        <f t="shared" si="19"/>
        <v>3.5883114654352004E-4</v>
      </c>
      <c r="N75" s="23">
        <f t="shared" si="20"/>
        <v>41470.904299692571</v>
      </c>
      <c r="O75" s="21">
        <f>0.25/(LOG(M75/3.7+5.74/N75^0.9))^2</f>
        <v>2.2915862527230619E-2</v>
      </c>
      <c r="P75" s="207">
        <f>O75*100/K75*L75^2/2/9.81</f>
        <v>6.0719320422002399E-2</v>
      </c>
    </row>
    <row r="76" spans="2:16" s="19" customFormat="1">
      <c r="B76" s="18">
        <v>10000</v>
      </c>
      <c r="C76" s="18">
        <v>125</v>
      </c>
      <c r="D76" s="18">
        <v>100</v>
      </c>
      <c r="E76" s="21">
        <f>L76</f>
        <v>12.907695224095779</v>
      </c>
      <c r="F76" s="22">
        <f>P76</f>
        <v>105.43196574028697</v>
      </c>
      <c r="G76" s="22">
        <f>F76*D76/100</f>
        <v>105.43196574028698</v>
      </c>
      <c r="H76" s="22">
        <f t="shared" si="18"/>
        <v>10.336467229439901</v>
      </c>
      <c r="J76" s="21">
        <f>B76/1000/60</f>
        <v>0.16666666666666666</v>
      </c>
      <c r="K76" s="21">
        <f t="shared" si="14"/>
        <v>0.12819399999999997</v>
      </c>
      <c r="L76" s="21">
        <f>J76/22*7/K76^2*4</f>
        <v>12.907695224095779</v>
      </c>
      <c r="M76" s="21">
        <f t="shared" si="19"/>
        <v>3.5883114654352004E-4</v>
      </c>
      <c r="N76" s="23">
        <f t="shared" si="20"/>
        <v>2073545.2149846291</v>
      </c>
      <c r="O76" s="21">
        <f>0.25/(LOG(M76/3.7+5.74/N76^0.9))^2</f>
        <v>1.5916281118354633E-2</v>
      </c>
      <c r="P76" s="21">
        <f>O76*100/K76*L76^2/2/9.81</f>
        <v>105.43196574028697</v>
      </c>
    </row>
    <row r="77" spans="2:16">
      <c r="J77" s="21"/>
    </row>
    <row r="78" spans="2:16">
      <c r="J78" s="21"/>
    </row>
    <row r="79" spans="2:16">
      <c r="J79" s="21"/>
    </row>
    <row r="80" spans="2:16">
      <c r="B80" s="24">
        <v>28.24</v>
      </c>
      <c r="C80" s="24">
        <v>15</v>
      </c>
      <c r="D80" s="24">
        <v>100</v>
      </c>
      <c r="E80" s="25">
        <f>L80</f>
        <v>2.3999411366058641</v>
      </c>
      <c r="F80" s="26">
        <f>P80</f>
        <v>53.651719222812332</v>
      </c>
      <c r="G80" s="26">
        <f>F80*D80/100</f>
        <v>53.651719222812332</v>
      </c>
      <c r="H80" s="26">
        <f>G80/10.2</f>
        <v>5.2599724728247388</v>
      </c>
      <c r="I80" s="27"/>
      <c r="J80" s="21">
        <f t="shared" ref="J80:J107" si="21">B80/1000/60</f>
        <v>4.7066666666666665E-4</v>
      </c>
      <c r="K80" s="25">
        <f>VLOOKUP(C80,PIPESIZE,2,FALSE)</f>
        <v>1.5798799999999998E-2</v>
      </c>
      <c r="L80" s="25">
        <f>J80/22*7/K80^2*4</f>
        <v>2.3999411366058641</v>
      </c>
      <c r="M80" s="25">
        <f t="shared" si="19"/>
        <v>2.9116135402688817E-3</v>
      </c>
      <c r="N80" s="28">
        <f t="shared" si="20"/>
        <v>47514.02259274276</v>
      </c>
      <c r="O80" s="25">
        <f>0.25/(LOG(M80/3.7+5.74/N80^0.9))^2</f>
        <v>2.8873907954688603E-2</v>
      </c>
      <c r="P80" s="25">
        <f>O80*100/K80*L80^2/2/9.81</f>
        <v>53.651719222812332</v>
      </c>
    </row>
    <row r="81" spans="2:16">
      <c r="B81" s="24">
        <v>25840</v>
      </c>
      <c r="C81" s="24">
        <v>500</v>
      </c>
      <c r="D81" s="24">
        <v>100</v>
      </c>
      <c r="E81" s="25">
        <f>L81</f>
        <v>2.4001970456190587</v>
      </c>
      <c r="F81" s="26">
        <f>P81</f>
        <v>0.80378623844662123</v>
      </c>
      <c r="G81" s="26">
        <f>F81*D81/100</f>
        <v>0.80378623844662112</v>
      </c>
      <c r="H81" s="26">
        <f>G81/10.2</f>
        <v>7.8802572396727569E-2</v>
      </c>
      <c r="I81" s="27"/>
      <c r="J81" s="21">
        <f t="shared" si="21"/>
        <v>0.43066666666666664</v>
      </c>
      <c r="K81" s="25">
        <f>VLOOKUP(C81,PIPESIZE,2,FALSE)</f>
        <v>0.47787559999999996</v>
      </c>
      <c r="L81" s="25">
        <f>J81/22*7/K81^2*4</f>
        <v>2.4001970456190587</v>
      </c>
      <c r="M81" s="25">
        <f t="shared" si="19"/>
        <v>9.6259361222878934E-5</v>
      </c>
      <c r="N81" s="28">
        <f t="shared" si="20"/>
        <v>1437337.8487386403</v>
      </c>
      <c r="O81" s="25">
        <f>0.25/(LOG(M81/3.7+5.74/N81^0.9))^2</f>
        <v>1.3081592970394676E-2</v>
      </c>
      <c r="P81" s="25">
        <f>O81*100/K81*L81^2/2/9.81</f>
        <v>0.80378623844662123</v>
      </c>
    </row>
    <row r="82" spans="2:16">
      <c r="J82" s="21"/>
    </row>
    <row r="83" spans="2:16">
      <c r="B83" s="24">
        <f>B80/2</f>
        <v>14.12</v>
      </c>
      <c r="C83" s="24">
        <v>15</v>
      </c>
      <c r="D83" s="24">
        <v>100</v>
      </c>
      <c r="E83" s="25">
        <f>L83</f>
        <v>1.199970568302932</v>
      </c>
      <c r="F83" s="26">
        <f>P83</f>
        <v>14.408505808033176</v>
      </c>
      <c r="G83" s="26">
        <f>F83*D83/100</f>
        <v>14.408505808033176</v>
      </c>
      <c r="H83" s="26">
        <f>G83/10.2</f>
        <v>1.4125986086307036</v>
      </c>
      <c r="I83" s="27"/>
      <c r="J83" s="21">
        <f t="shared" si="21"/>
        <v>2.3533333333333333E-4</v>
      </c>
      <c r="K83" s="25">
        <f>VLOOKUP(C83,PIPESIZE,2,FALSE)</f>
        <v>1.5798799999999998E-2</v>
      </c>
      <c r="L83" s="25">
        <f>J83/22*7/K83^2*4</f>
        <v>1.199970568302932</v>
      </c>
      <c r="M83" s="25">
        <f t="shared" si="19"/>
        <v>2.9116135402688817E-3</v>
      </c>
      <c r="N83" s="28">
        <f t="shared" si="20"/>
        <v>23757.01129637138</v>
      </c>
      <c r="O83" s="25">
        <f>0.25/(LOG(M83/3.7+5.74/N83^0.9))^2</f>
        <v>3.1017076544220281E-2</v>
      </c>
      <c r="P83" s="25">
        <f>O83*100/K83*L83^2/2/9.81</f>
        <v>14.408505808033176</v>
      </c>
    </row>
    <row r="84" spans="2:16">
      <c r="B84" s="24">
        <f>B81/2</f>
        <v>12920</v>
      </c>
      <c r="C84" s="24">
        <v>500</v>
      </c>
      <c r="D84" s="24">
        <v>100</v>
      </c>
      <c r="E84" s="25">
        <f>L84</f>
        <v>1.2000985228095293</v>
      </c>
      <c r="F84" s="26">
        <f>P84</f>
        <v>0.21302925437994319</v>
      </c>
      <c r="G84" s="26">
        <f>F84*D84/100</f>
        <v>0.21302925437994319</v>
      </c>
      <c r="H84" s="26">
        <f>G84/10.2</f>
        <v>2.0885221017641491E-2</v>
      </c>
      <c r="I84" s="27"/>
      <c r="J84" s="21">
        <f t="shared" si="21"/>
        <v>0.21533333333333332</v>
      </c>
      <c r="K84" s="25">
        <f>VLOOKUP(C84,PIPESIZE,2,FALSE)</f>
        <v>0.47787559999999996</v>
      </c>
      <c r="L84" s="25">
        <f>J84/22*7/K84^2*4</f>
        <v>1.2000985228095293</v>
      </c>
      <c r="M84" s="25">
        <f t="shared" si="19"/>
        <v>9.6259361222878934E-5</v>
      </c>
      <c r="N84" s="28">
        <f t="shared" si="20"/>
        <v>718668.92436932016</v>
      </c>
      <c r="O84" s="25">
        <f>0.25/(LOG(M84/3.7+5.74/N84^0.9))^2</f>
        <v>1.386817471257391E-2</v>
      </c>
      <c r="P84" s="25">
        <f>O84*100/K84*L84^2/2/9.81</f>
        <v>0.21302925437994319</v>
      </c>
    </row>
    <row r="85" spans="2:16">
      <c r="J85" s="21"/>
    </row>
    <row r="86" spans="2:16">
      <c r="B86" s="24">
        <f>B80*1/2.4</f>
        <v>11.766666666666666</v>
      </c>
      <c r="C86" s="24">
        <v>15</v>
      </c>
      <c r="D86" s="24">
        <v>100</v>
      </c>
      <c r="E86" s="25">
        <f>L86</f>
        <v>0.99997547358577654</v>
      </c>
      <c r="F86" s="26">
        <f>P86</f>
        <v>10.250008177247352</v>
      </c>
      <c r="G86" s="26">
        <f>F86*D86/100</f>
        <v>10.250008177247352</v>
      </c>
      <c r="H86" s="26">
        <f>G86/10.2</f>
        <v>1.0049027624752307</v>
      </c>
      <c r="I86" s="27"/>
      <c r="J86" s="21">
        <f t="shared" si="21"/>
        <v>1.9611111111111107E-4</v>
      </c>
      <c r="K86" s="25">
        <f>VLOOKUP(C86,PIPESIZE,2,FALSE)</f>
        <v>1.5798799999999998E-2</v>
      </c>
      <c r="L86" s="25">
        <f>J86/22*7/K86^2*4</f>
        <v>0.99997547358577654</v>
      </c>
      <c r="M86" s="25">
        <f t="shared" si="19"/>
        <v>2.9116135402688817E-3</v>
      </c>
      <c r="N86" s="28">
        <f t="shared" si="20"/>
        <v>19797.509413642812</v>
      </c>
      <c r="O86" s="25">
        <f>0.25/(LOG(M86/3.7+5.74/N86^0.9))^2</f>
        <v>3.1773760660931911E-2</v>
      </c>
      <c r="P86" s="25">
        <f>O86*100/K86*L86^2/2/9.81</f>
        <v>10.250008177247352</v>
      </c>
    </row>
    <row r="87" spans="2:16">
      <c r="B87" s="24">
        <f>B81*1/2.4</f>
        <v>10766.666666666668</v>
      </c>
      <c r="C87" s="24">
        <v>500</v>
      </c>
      <c r="D87" s="24">
        <v>100</v>
      </c>
      <c r="E87" s="25">
        <f>L87</f>
        <v>1.0000821023412745</v>
      </c>
      <c r="F87" s="26">
        <f>P87</f>
        <v>0.15076819505426886</v>
      </c>
      <c r="G87" s="26">
        <f>F87*D87/100</f>
        <v>0.15076819505426886</v>
      </c>
      <c r="H87" s="26">
        <f>G87/10.2</f>
        <v>1.4781195593555771E-2</v>
      </c>
      <c r="I87" s="27"/>
      <c r="J87" s="21">
        <f t="shared" si="21"/>
        <v>0.17944444444444446</v>
      </c>
      <c r="K87" s="25">
        <f>VLOOKUP(C87,PIPESIZE,2,FALSE)</f>
        <v>0.47787559999999996</v>
      </c>
      <c r="L87" s="25">
        <f>J87/22*7/K87^2*4</f>
        <v>1.0000821023412745</v>
      </c>
      <c r="M87" s="25">
        <f t="shared" si="19"/>
        <v>9.6259361222878934E-5</v>
      </c>
      <c r="N87" s="28">
        <f t="shared" si="20"/>
        <v>598890.77030776686</v>
      </c>
      <c r="O87" s="25">
        <f>0.25/(LOG(M87/3.7+5.74/N87^0.9))^2</f>
        <v>1.4133583360299207E-2</v>
      </c>
      <c r="P87" s="25">
        <f>O87*100/K87*L87^2/2/9.81</f>
        <v>0.15076819505426886</v>
      </c>
    </row>
    <row r="88" spans="2:16">
      <c r="J88" s="21"/>
    </row>
    <row r="89" spans="2:16">
      <c r="B89" s="24">
        <f>B86*2</f>
        <v>23.533333333333331</v>
      </c>
      <c r="C89" s="24">
        <v>15</v>
      </c>
      <c r="D89" s="24">
        <v>100</v>
      </c>
      <c r="E89" s="25">
        <f>L89</f>
        <v>1.9999509471715531</v>
      </c>
      <c r="F89" s="26">
        <f>P89</f>
        <v>37.858264636447714</v>
      </c>
      <c r="G89" s="26">
        <f>F89*D89/100</f>
        <v>37.858264636447714</v>
      </c>
      <c r="H89" s="26">
        <f>G89/10.2</f>
        <v>3.7115945722007564</v>
      </c>
      <c r="I89" s="27"/>
      <c r="J89" s="21">
        <f t="shared" si="21"/>
        <v>3.9222222222222214E-4</v>
      </c>
      <c r="K89" s="25">
        <f>VLOOKUP(C89,PIPESIZE,2,FALSE)</f>
        <v>1.5798799999999998E-2</v>
      </c>
      <c r="L89" s="25">
        <f>J89/22*7/K89^2*4</f>
        <v>1.9999509471715531</v>
      </c>
      <c r="M89" s="25">
        <f t="shared" si="19"/>
        <v>2.9116135402688817E-3</v>
      </c>
      <c r="N89" s="28">
        <f t="shared" si="20"/>
        <v>39595.018827285625</v>
      </c>
      <c r="O89" s="25">
        <f>0.25/(LOG(M89/3.7+5.74/N89^0.9))^2</f>
        <v>2.9338987315806996E-2</v>
      </c>
      <c r="P89" s="25">
        <f>O89*100/K89*L89^2/2/9.81</f>
        <v>37.858264636447714</v>
      </c>
    </row>
    <row r="90" spans="2:16">
      <c r="B90" s="24">
        <f>B87*2</f>
        <v>21533.333333333336</v>
      </c>
      <c r="C90" s="24">
        <v>500</v>
      </c>
      <c r="D90" s="24">
        <v>100</v>
      </c>
      <c r="E90" s="25">
        <f>L90</f>
        <v>2.000164204682549</v>
      </c>
      <c r="F90" s="26">
        <f>P90</f>
        <v>0.56567683775234279</v>
      </c>
      <c r="G90" s="26">
        <f>F90*D90/100</f>
        <v>0.56567683775234279</v>
      </c>
      <c r="H90" s="26">
        <f>G90/10.2</f>
        <v>5.5458513505131653E-2</v>
      </c>
      <c r="I90" s="27"/>
      <c r="J90" s="21">
        <f t="shared" si="21"/>
        <v>0.35888888888888892</v>
      </c>
      <c r="K90" s="25">
        <f>VLOOKUP(C90,PIPESIZE,2,FALSE)</f>
        <v>0.47787559999999996</v>
      </c>
      <c r="L90" s="25">
        <f>J90/22*7/K90^2*4</f>
        <v>2.000164204682549</v>
      </c>
      <c r="M90" s="25">
        <f t="shared" si="19"/>
        <v>9.6259361222878934E-5</v>
      </c>
      <c r="N90" s="28">
        <f t="shared" si="20"/>
        <v>1197781.5406155337</v>
      </c>
      <c r="O90" s="25">
        <f>0.25/(LOG(M90/3.7+5.74/N90^0.9))^2</f>
        <v>1.3257173932614537E-2</v>
      </c>
      <c r="P90" s="25">
        <f>O90*100/K90*L90^2/2/9.81</f>
        <v>0.56567683775234279</v>
      </c>
    </row>
    <row r="91" spans="2:16">
      <c r="J91" s="21"/>
    </row>
    <row r="92" spans="2:16">
      <c r="B92" s="24">
        <f>B86*3</f>
        <v>35.299999999999997</v>
      </c>
      <c r="C92" s="24">
        <v>15</v>
      </c>
      <c r="D92" s="24">
        <v>100</v>
      </c>
      <c r="E92" s="25">
        <f>L92</f>
        <v>2.9999264207573302</v>
      </c>
      <c r="F92" s="26">
        <f>P92</f>
        <v>82.409360840810365</v>
      </c>
      <c r="G92" s="26">
        <f>F92*D92/100</f>
        <v>82.409360840810365</v>
      </c>
      <c r="H92" s="26">
        <f>G92/10.2</f>
        <v>8.0793491020402328</v>
      </c>
      <c r="I92" s="27"/>
      <c r="J92" s="21">
        <f t="shared" si="21"/>
        <v>5.8833333333333329E-4</v>
      </c>
      <c r="K92" s="25">
        <f>VLOOKUP(C92,PIPESIZE,2,FALSE)</f>
        <v>1.5798799999999998E-2</v>
      </c>
      <c r="L92" s="25">
        <f>J92/22*7/K92^2*4</f>
        <v>2.9999264207573302</v>
      </c>
      <c r="M92" s="25">
        <f t="shared" si="19"/>
        <v>2.9116135402688817E-3</v>
      </c>
      <c r="N92" s="28">
        <f t="shared" si="20"/>
        <v>59392.528240928448</v>
      </c>
      <c r="O92" s="25">
        <f>0.25/(LOG(M92/3.7+5.74/N92^0.9))^2</f>
        <v>2.8384316733073962E-2</v>
      </c>
      <c r="P92" s="25">
        <f>O92*100/K92*L92^2/2/9.81</f>
        <v>82.409360840810365</v>
      </c>
    </row>
    <row r="93" spans="2:16">
      <c r="B93" s="24">
        <f>B87*3</f>
        <v>32300.000000000004</v>
      </c>
      <c r="C93" s="24">
        <v>500</v>
      </c>
      <c r="D93" s="24">
        <v>100</v>
      </c>
      <c r="E93" s="25">
        <f>L93</f>
        <v>3.0002463070238239</v>
      </c>
      <c r="F93" s="26">
        <f>P93</f>
        <v>1.2378499584831697</v>
      </c>
      <c r="G93" s="26">
        <f>F93*D93/100</f>
        <v>1.2378499584831697</v>
      </c>
      <c r="H93" s="26">
        <f>G93/10.2</f>
        <v>0.12135783906697743</v>
      </c>
      <c r="I93" s="27"/>
      <c r="J93" s="21">
        <f t="shared" si="21"/>
        <v>0.53833333333333344</v>
      </c>
      <c r="K93" s="25">
        <f>VLOOKUP(C93,PIPESIZE,2,FALSE)</f>
        <v>0.47787559999999996</v>
      </c>
      <c r="L93" s="25">
        <f>J93/22*7/K93^2*4</f>
        <v>3.0002463070238239</v>
      </c>
      <c r="M93" s="25">
        <f t="shared" si="19"/>
        <v>9.6259361222878934E-5</v>
      </c>
      <c r="N93" s="28">
        <f t="shared" si="20"/>
        <v>1796672.3109233007</v>
      </c>
      <c r="O93" s="25">
        <f>0.25/(LOG(M93/3.7+5.74/N93^0.9))^2</f>
        <v>1.2893417510877386E-2</v>
      </c>
      <c r="P93" s="25">
        <f>O93*100/K93*L93^2/2/9.81</f>
        <v>1.2378499584831697</v>
      </c>
    </row>
    <row r="94" spans="2:16">
      <c r="J94" s="21"/>
    </row>
    <row r="95" spans="2:16">
      <c r="B95" s="24">
        <f>B86*4</f>
        <v>47.066666666666663</v>
      </c>
      <c r="C95" s="24">
        <v>15</v>
      </c>
      <c r="D95" s="24">
        <v>100</v>
      </c>
      <c r="E95" s="25">
        <f>L95</f>
        <v>3.9999018943431062</v>
      </c>
      <c r="F95" s="26">
        <f>P95</f>
        <v>143.82392939711292</v>
      </c>
      <c r="G95" s="26">
        <f>F95*D95/100</f>
        <v>143.82392939711292</v>
      </c>
      <c r="H95" s="26">
        <f>G95/10.2</f>
        <v>14.100385235011071</v>
      </c>
      <c r="I95" s="27"/>
      <c r="J95" s="21">
        <f t="shared" si="21"/>
        <v>7.8444444444444427E-4</v>
      </c>
      <c r="K95" s="25">
        <f>VLOOKUP(C95,PIPESIZE,2,FALSE)</f>
        <v>1.5798799999999998E-2</v>
      </c>
      <c r="L95" s="25">
        <f>J95/22*7/K95^2*4</f>
        <v>3.9999018943431062</v>
      </c>
      <c r="M95" s="25">
        <f t="shared" si="19"/>
        <v>2.9116135402688817E-3</v>
      </c>
      <c r="N95" s="28">
        <f t="shared" si="20"/>
        <v>79190.03765457125</v>
      </c>
      <c r="O95" s="25">
        <f>0.25/(LOG(M95/3.7+5.74/N95^0.9))^2</f>
        <v>2.7864777221120875E-2</v>
      </c>
      <c r="P95" s="25">
        <f>O95*100/K95*L95^2/2/9.81</f>
        <v>143.82392939711292</v>
      </c>
    </row>
    <row r="96" spans="2:16">
      <c r="B96" s="24">
        <f>B87*4</f>
        <v>43066.666666666672</v>
      </c>
      <c r="C96" s="24">
        <v>500</v>
      </c>
      <c r="D96" s="24">
        <v>100</v>
      </c>
      <c r="E96" s="25">
        <f>L96</f>
        <v>4.0003284093650979</v>
      </c>
      <c r="F96" s="26">
        <f>P96</f>
        <v>2.1658454114220973</v>
      </c>
      <c r="G96" s="26">
        <f>F96*D96/100</f>
        <v>2.1658454114220973</v>
      </c>
      <c r="H96" s="26">
        <f>G96/10.2</f>
        <v>0.21233778543353896</v>
      </c>
      <c r="I96" s="27"/>
      <c r="J96" s="21">
        <f t="shared" si="21"/>
        <v>0.71777777777777785</v>
      </c>
      <c r="K96" s="25">
        <f>VLOOKUP(C96,PIPESIZE,2,FALSE)</f>
        <v>0.47787559999999996</v>
      </c>
      <c r="L96" s="25">
        <f>J96/22*7/K96^2*4</f>
        <v>4.0003284093650979</v>
      </c>
      <c r="M96" s="25">
        <f t="shared" si="19"/>
        <v>9.6259361222878934E-5</v>
      </c>
      <c r="N96" s="28">
        <f t="shared" si="20"/>
        <v>2395563.0812310674</v>
      </c>
      <c r="O96" s="25">
        <f>0.25/(LOG(M96/3.7+5.74/N96^0.9))^2</f>
        <v>1.2689661045901163E-2</v>
      </c>
      <c r="P96" s="25">
        <f>O96*100/K96*L96^2/2/9.81</f>
        <v>2.1658454114220973</v>
      </c>
    </row>
    <row r="97" spans="2:16">
      <c r="J97" s="21"/>
    </row>
    <row r="98" spans="2:16">
      <c r="B98" s="24">
        <f>B86/2</f>
        <v>5.8833333333333329</v>
      </c>
      <c r="C98" s="24">
        <v>15</v>
      </c>
      <c r="D98" s="24">
        <v>100</v>
      </c>
      <c r="E98" s="25">
        <f>L98</f>
        <v>0.49998773679288827</v>
      </c>
      <c r="F98" s="26">
        <f>P98</f>
        <v>2.8724529133673729</v>
      </c>
      <c r="G98" s="26">
        <f>F98*D98/100</f>
        <v>2.8724529133673729</v>
      </c>
      <c r="H98" s="26">
        <f>G98/10.2</f>
        <v>0.28161303072229149</v>
      </c>
      <c r="I98" s="27"/>
      <c r="J98" s="21">
        <f t="shared" si="21"/>
        <v>9.8055555555555534E-5</v>
      </c>
      <c r="K98" s="25">
        <f>VLOOKUP(C98,PIPESIZE,2,FALSE)</f>
        <v>1.5798799999999998E-2</v>
      </c>
      <c r="L98" s="25">
        <f>J98/22*7/K98^2*4</f>
        <v>0.49998773679288827</v>
      </c>
      <c r="M98" s="25">
        <f t="shared" si="19"/>
        <v>2.9116135402688817E-3</v>
      </c>
      <c r="N98" s="28">
        <f t="shared" si="20"/>
        <v>9898.7547068214062</v>
      </c>
      <c r="O98" s="25">
        <f>0.25/(LOG(M98/3.7+5.74/N98^0.9))^2</f>
        <v>3.5616998465123867E-2</v>
      </c>
      <c r="P98" s="25">
        <f>O98*100/K98*L98^2/2/9.81</f>
        <v>2.8724529133673729</v>
      </c>
    </row>
    <row r="99" spans="2:16">
      <c r="B99" s="24">
        <f>B87/2</f>
        <v>5383.3333333333339</v>
      </c>
      <c r="C99" s="24">
        <v>500</v>
      </c>
      <c r="D99" s="24">
        <v>100</v>
      </c>
      <c r="E99" s="25">
        <f>L99</f>
        <v>0.50004105117063724</v>
      </c>
      <c r="F99" s="26">
        <f>P99</f>
        <v>4.1082980732234653E-2</v>
      </c>
      <c r="G99" s="26">
        <f>F99*D99/100</f>
        <v>4.1082980732234653E-2</v>
      </c>
      <c r="H99" s="26">
        <f>G99/10.2</f>
        <v>4.0277432090426134E-3</v>
      </c>
      <c r="I99" s="27"/>
      <c r="J99" s="21">
        <f t="shared" si="21"/>
        <v>8.9722222222222231E-2</v>
      </c>
      <c r="K99" s="25">
        <f>VLOOKUP(C99,PIPESIZE,2,FALSE)</f>
        <v>0.47787559999999996</v>
      </c>
      <c r="L99" s="25">
        <f>J99/22*7/K99^2*4</f>
        <v>0.50004105117063724</v>
      </c>
      <c r="M99" s="25">
        <f t="shared" si="19"/>
        <v>9.6259361222878934E-5</v>
      </c>
      <c r="N99" s="28">
        <f t="shared" si="20"/>
        <v>299445.38515388343</v>
      </c>
      <c r="O99" s="25">
        <f>0.25/(LOG(M99/3.7+5.74/N99^0.9))^2</f>
        <v>1.5405098738751908E-2</v>
      </c>
      <c r="P99" s="25">
        <f>O99*100/K99*L99^2/2/9.81</f>
        <v>4.1082980732234653E-2</v>
      </c>
    </row>
    <row r="100" spans="2:16">
      <c r="J100" s="21"/>
    </row>
    <row r="101" spans="2:16">
      <c r="B101" s="24">
        <f>B86*0.2</f>
        <v>2.3533333333333331</v>
      </c>
      <c r="C101" s="24">
        <v>15</v>
      </c>
      <c r="D101" s="24">
        <v>100</v>
      </c>
      <c r="E101" s="25">
        <f>L101</f>
        <v>0.19999509471715535</v>
      </c>
      <c r="F101" s="26">
        <f>P101</f>
        <v>0.56638078775123935</v>
      </c>
      <c r="G101" s="26">
        <f>F101*D101/100</f>
        <v>0.56638078775123935</v>
      </c>
      <c r="H101" s="26">
        <f>G101/10.2</f>
        <v>5.552752821090582E-2</v>
      </c>
      <c r="I101" s="27"/>
      <c r="J101" s="21">
        <f t="shared" si="21"/>
        <v>3.9222222222222216E-5</v>
      </c>
      <c r="K101" s="25">
        <f>VLOOKUP(C101,PIPESIZE,2,FALSE)</f>
        <v>1.5798799999999998E-2</v>
      </c>
      <c r="L101" s="25">
        <f>J101/22*7/K101^2*4</f>
        <v>0.19999509471715535</v>
      </c>
      <c r="M101" s="25">
        <f t="shared" si="19"/>
        <v>2.9116135402688817E-3</v>
      </c>
      <c r="N101" s="28">
        <f t="shared" si="20"/>
        <v>3959.5018827285635</v>
      </c>
      <c r="O101" s="25">
        <f>0.25/(LOG(M101/3.7+5.74/N101^0.9))^2</f>
        <v>4.389276399043518E-2</v>
      </c>
      <c r="P101" s="25">
        <f>O101*100/K101*L101^2/2/9.81</f>
        <v>0.56638078775123935</v>
      </c>
    </row>
    <row r="102" spans="2:16">
      <c r="B102" s="24">
        <f>B106*2</f>
        <v>99</v>
      </c>
      <c r="C102" s="24">
        <v>100</v>
      </c>
      <c r="D102" s="24">
        <v>100</v>
      </c>
      <c r="E102" s="25">
        <f>L102</f>
        <v>0.20081877816627469</v>
      </c>
      <c r="F102" s="26">
        <f>P102</f>
        <v>5.1217187610290878E-2</v>
      </c>
      <c r="G102" s="26">
        <f>F102*D102/100</f>
        <v>5.1217187610290885E-2</v>
      </c>
      <c r="H102" s="26">
        <f t="shared" ref="H102:H103" si="22">G102/10.2</f>
        <v>5.0212929029696948E-3</v>
      </c>
      <c r="I102" s="27"/>
      <c r="J102" s="21">
        <f t="shared" si="21"/>
        <v>1.65E-3</v>
      </c>
      <c r="K102" s="25">
        <f>VLOOKUP(C102,PIPESIZE,2,FALSE)</f>
        <v>0.10226039999999999</v>
      </c>
      <c r="L102" s="25">
        <f>J102/22*7/K102^2*4</f>
        <v>0.20081877816627469</v>
      </c>
      <c r="M102" s="25">
        <f t="shared" si="19"/>
        <v>4.4983199752787983E-4</v>
      </c>
      <c r="N102" s="28">
        <f t="shared" si="20"/>
        <v>25734.095968414178</v>
      </c>
      <c r="O102" s="25">
        <f>0.25/(LOG(M102/3.7+5.74/N102^0.9))^2</f>
        <v>2.5480830367905591E-2</v>
      </c>
      <c r="P102" s="25">
        <f>O102*100/K102*L102^2/2/9.81</f>
        <v>5.1217187610290878E-2</v>
      </c>
    </row>
    <row r="103" spans="2:16">
      <c r="B103" s="24">
        <f>B87*0.2</f>
        <v>2153.3333333333335</v>
      </c>
      <c r="C103" s="24">
        <v>500</v>
      </c>
      <c r="D103" s="24">
        <v>100</v>
      </c>
      <c r="E103" s="25">
        <f>L103</f>
        <v>0.20001642046825488</v>
      </c>
      <c r="F103" s="26">
        <f>P103</f>
        <v>7.6101805040247944E-3</v>
      </c>
      <c r="G103" s="26">
        <f>F103*D103/100</f>
        <v>7.6101805040247935E-3</v>
      </c>
      <c r="H103" s="26">
        <f t="shared" si="22"/>
        <v>7.4609612784556803E-4</v>
      </c>
      <c r="I103" s="27"/>
      <c r="J103" s="21">
        <f t="shared" si="21"/>
        <v>3.5888888888888887E-2</v>
      </c>
      <c r="K103" s="25">
        <f>VLOOKUP(C103,PIPESIZE,2,FALSE)</f>
        <v>0.47787559999999996</v>
      </c>
      <c r="L103" s="25">
        <f>J103/22*7/K103^2*4</f>
        <v>0.20001642046825488</v>
      </c>
      <c r="M103" s="25">
        <f t="shared" si="19"/>
        <v>9.6259361222878934E-5</v>
      </c>
      <c r="N103" s="28">
        <f t="shared" si="20"/>
        <v>119778.15406155334</v>
      </c>
      <c r="O103" s="25">
        <f>0.25/(LOG(M103/3.7+5.74/N103^0.9))^2</f>
        <v>1.7835180772350974E-2</v>
      </c>
      <c r="P103" s="25">
        <f>O103*100/K103*L103^2/2/9.81</f>
        <v>7.6101805040247944E-3</v>
      </c>
    </row>
    <row r="104" spans="2:16">
      <c r="J104" s="21"/>
    </row>
    <row r="105" spans="2:16">
      <c r="B105" s="24">
        <f>B101/2</f>
        <v>1.1766666666666665</v>
      </c>
      <c r="C105" s="24">
        <v>15</v>
      </c>
      <c r="D105" s="24">
        <v>100</v>
      </c>
      <c r="E105" s="25">
        <f>L105</f>
        <v>9.9997547358577674E-2</v>
      </c>
      <c r="F105" s="26">
        <f>P105</f>
        <v>0.17348415588910504</v>
      </c>
      <c r="G105" s="26">
        <f>F105*D105/100</f>
        <v>0.17348415588910504</v>
      </c>
      <c r="H105" s="26">
        <f>G105/10.2</f>
        <v>1.700825057736324E-2</v>
      </c>
      <c r="I105" s="27"/>
      <c r="J105" s="21">
        <f t="shared" si="21"/>
        <v>1.9611111111111108E-5</v>
      </c>
      <c r="K105" s="25">
        <f>VLOOKUP(C105,PIPESIZE,2,FALSE)</f>
        <v>1.5798799999999998E-2</v>
      </c>
      <c r="L105" s="25">
        <f>J105/22*7/K105^2*4</f>
        <v>9.9997547358577674E-2</v>
      </c>
      <c r="M105" s="25">
        <f t="shared" si="19"/>
        <v>2.9116135402688817E-3</v>
      </c>
      <c r="N105" s="28">
        <f t="shared" si="20"/>
        <v>1979.7509413642817</v>
      </c>
      <c r="O105" s="25">
        <f>0.25/(LOG(M105/3.7+5.74/N105^0.9))^2</f>
        <v>5.3777947806130828E-2</v>
      </c>
      <c r="P105" s="25">
        <f>O105*100/K105*L105^2/2/9.81</f>
        <v>0.17348415588910504</v>
      </c>
    </row>
    <row r="106" spans="2:16">
      <c r="B106" s="24">
        <v>49.5</v>
      </c>
      <c r="C106" s="24">
        <v>100</v>
      </c>
      <c r="D106" s="24">
        <v>100</v>
      </c>
      <c r="E106" s="25">
        <f>L106</f>
        <v>0.10040938908313735</v>
      </c>
      <c r="F106" s="26">
        <f>P106</f>
        <v>1.4979653570987081E-2</v>
      </c>
      <c r="G106" s="26">
        <f>F106*D106/100</f>
        <v>1.4979653570987081E-2</v>
      </c>
      <c r="H106" s="26">
        <f t="shared" ref="H106:H107" si="23">G106/10.2</f>
        <v>1.4685934873516747E-3</v>
      </c>
      <c r="I106" s="27"/>
      <c r="J106" s="21">
        <f t="shared" si="21"/>
        <v>8.25E-4</v>
      </c>
      <c r="K106" s="25">
        <f>VLOOKUP(C106,PIPESIZE,2,FALSE)</f>
        <v>0.10226039999999999</v>
      </c>
      <c r="L106" s="25">
        <f>J106/22*7/K106^2*4</f>
        <v>0.10040938908313735</v>
      </c>
      <c r="M106" s="25">
        <f t="shared" si="19"/>
        <v>4.4983199752787983E-4</v>
      </c>
      <c r="N106" s="28">
        <f t="shared" si="20"/>
        <v>12867.047984207089</v>
      </c>
      <c r="O106" s="25">
        <f>0.25/(LOG(M106/3.7+5.74/N106^0.9))^2</f>
        <v>2.9809837628462114E-2</v>
      </c>
      <c r="P106" s="25">
        <f>O106*100/K106*L106^2/2/9.81</f>
        <v>1.4979653570987081E-2</v>
      </c>
    </row>
    <row r="107" spans="2:16">
      <c r="B107" s="24">
        <f>B103/2</f>
        <v>1076.6666666666667</v>
      </c>
      <c r="C107" s="24">
        <v>500</v>
      </c>
      <c r="D107" s="24">
        <v>100</v>
      </c>
      <c r="E107" s="25">
        <f>L107</f>
        <v>0.10000821023412744</v>
      </c>
      <c r="F107" s="26">
        <f>P107</f>
        <v>2.173121412524244E-3</v>
      </c>
      <c r="G107" s="26">
        <f>F107*D107/100</f>
        <v>2.173121412524244E-3</v>
      </c>
      <c r="H107" s="26">
        <f t="shared" si="23"/>
        <v>2.130511188749259E-4</v>
      </c>
      <c r="I107" s="27"/>
      <c r="J107" s="21">
        <f t="shared" si="21"/>
        <v>1.7944444444444443E-2</v>
      </c>
      <c r="K107" s="25">
        <f>VLOOKUP(C107,PIPESIZE,2,FALSE)</f>
        <v>0.47787559999999996</v>
      </c>
      <c r="L107" s="25">
        <f>J107/22*7/K107^2*4</f>
        <v>0.10000821023412744</v>
      </c>
      <c r="M107" s="25">
        <f t="shared" si="19"/>
        <v>9.6259361222878934E-5</v>
      </c>
      <c r="N107" s="28">
        <f t="shared" si="20"/>
        <v>59889.077030776672</v>
      </c>
      <c r="O107" s="25">
        <f>0.25/(LOG(M107/3.7+5.74/N107^0.9))^2</f>
        <v>2.037166567186607E-2</v>
      </c>
      <c r="P107" s="25">
        <f>O107*100/K107*L107^2/2/9.81</f>
        <v>2.173121412524244E-3</v>
      </c>
    </row>
  </sheetData>
  <mergeCells count="1">
    <mergeCell ref="F7:H7"/>
  </mergeCells>
  <phoneticPr fontId="2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C3:V57"/>
  <sheetViews>
    <sheetView workbookViewId="0">
      <selection activeCell="C6" sqref="C6"/>
    </sheetView>
  </sheetViews>
  <sheetFormatPr defaultRowHeight="12.75"/>
  <cols>
    <col min="4" max="4" width="12.85546875" customWidth="1"/>
    <col min="5" max="8" width="13.42578125" customWidth="1"/>
    <col min="12" max="12" width="11.85546875" customWidth="1"/>
  </cols>
  <sheetData>
    <row r="3" spans="3:22">
      <c r="C3" s="136"/>
      <c r="D3" s="222" t="s">
        <v>44</v>
      </c>
      <c r="E3" s="223"/>
      <c r="F3" s="198" t="s">
        <v>45</v>
      </c>
      <c r="G3" s="199"/>
      <c r="H3" s="133"/>
    </row>
    <row r="4" spans="3:22">
      <c r="C4" s="137" t="s">
        <v>54</v>
      </c>
      <c r="D4" s="93" t="s">
        <v>55</v>
      </c>
      <c r="E4" s="93" t="s">
        <v>56</v>
      </c>
      <c r="F4" s="93" t="s">
        <v>55</v>
      </c>
      <c r="G4" s="93" t="s">
        <v>56</v>
      </c>
      <c r="H4" s="133"/>
      <c r="K4" s="70" t="s">
        <v>60</v>
      </c>
      <c r="L4" s="70" t="s">
        <v>61</v>
      </c>
      <c r="M4" s="70" t="s">
        <v>58</v>
      </c>
      <c r="N4" s="70" t="s">
        <v>59</v>
      </c>
      <c r="O4" s="70" t="s">
        <v>62</v>
      </c>
      <c r="P4" s="70" t="s">
        <v>60</v>
      </c>
      <c r="Q4" s="70" t="s">
        <v>61</v>
      </c>
      <c r="R4" s="70" t="s">
        <v>58</v>
      </c>
      <c r="S4" s="70" t="s">
        <v>59</v>
      </c>
      <c r="T4" s="70" t="s">
        <v>63</v>
      </c>
      <c r="U4" s="70" t="s">
        <v>64</v>
      </c>
      <c r="V4" s="70" t="s">
        <v>65</v>
      </c>
    </row>
    <row r="5" spans="3:22">
      <c r="C5" s="18">
        <v>146</v>
      </c>
      <c r="D5" s="1">
        <f>IF($C5&lt;1000,O5,IF($C5&lt;3000,$U5,$V5))</f>
        <v>53.85</v>
      </c>
      <c r="E5" s="1">
        <f>IF($C5&lt;1000,T5,IF($C5&lt;3000,$U5,$V5))</f>
        <v>79</v>
      </c>
      <c r="F5" s="152">
        <f>D5*3.785</f>
        <v>203.82225000000003</v>
      </c>
      <c r="G5" s="152">
        <f>E5*3.785</f>
        <v>299.01499999999999</v>
      </c>
      <c r="H5" s="134"/>
      <c r="K5" s="130">
        <f>VLOOKUP($C5,$C$11:$E$42,2)</f>
        <v>52.5</v>
      </c>
      <c r="L5" s="130">
        <f>VLOOKUP($C5,$I$11:$L$57,3)</f>
        <v>57</v>
      </c>
      <c r="M5" s="130">
        <f>VLOOKUP($C5,$C$11:$E$42,1)</f>
        <v>140</v>
      </c>
      <c r="N5" s="130">
        <f>VLOOKUP($C5,$I$11:$L$57,2)</f>
        <v>160</v>
      </c>
      <c r="O5" s="135">
        <f>FORECAST($C5,K5:L5,M5:N5)</f>
        <v>53.85</v>
      </c>
      <c r="P5" s="130">
        <f>VLOOKUP($C5,$C$11:$E$42,3)</f>
        <v>77.5</v>
      </c>
      <c r="Q5" s="130">
        <f>VLOOKUP($C5,$I$11:$L$57,4)</f>
        <v>82.5</v>
      </c>
      <c r="R5" s="130">
        <f>VLOOKUP($C5,$C$11:$E$42,1)</f>
        <v>140</v>
      </c>
      <c r="S5" s="130">
        <f>VLOOKUP($C5,$I$11:$L$57,2)</f>
        <v>160</v>
      </c>
      <c r="T5" s="135">
        <f>FORECAST($C5,P5:Q5,R5:S5)</f>
        <v>79</v>
      </c>
      <c r="U5">
        <f>0.1101*$C5+100.5111</f>
        <v>116.5857</v>
      </c>
      <c r="V5">
        <f>0.00000000065152*$C5^3 - 0.000018038*$C5^2 + 0.19203*$C5 + 1.7381</f>
        <v>29.392009610846721</v>
      </c>
    </row>
    <row r="8" spans="3:22">
      <c r="C8" s="131"/>
      <c r="D8" s="221" t="s">
        <v>44</v>
      </c>
      <c r="E8" s="221"/>
      <c r="F8" s="196" t="s">
        <v>45</v>
      </c>
      <c r="G8" s="197"/>
      <c r="H8" s="101"/>
      <c r="I8" s="131"/>
      <c r="J8" s="131"/>
      <c r="K8" s="224" t="s">
        <v>57</v>
      </c>
      <c r="L8" s="221"/>
    </row>
    <row r="9" spans="3:22">
      <c r="C9" s="4" t="s">
        <v>54</v>
      </c>
      <c r="D9" s="33" t="s">
        <v>55</v>
      </c>
      <c r="E9" s="33" t="s">
        <v>56</v>
      </c>
      <c r="F9" s="93" t="s">
        <v>55</v>
      </c>
      <c r="G9" s="93" t="s">
        <v>56</v>
      </c>
      <c r="H9" s="101"/>
      <c r="I9" s="4" t="s">
        <v>54</v>
      </c>
      <c r="J9" s="4"/>
      <c r="K9" s="33" t="s">
        <v>55</v>
      </c>
      <c r="L9" s="33" t="s">
        <v>56</v>
      </c>
    </row>
    <row r="10" spans="3:22">
      <c r="C10" s="151">
        <v>0</v>
      </c>
      <c r="D10" s="152">
        <v>0</v>
      </c>
      <c r="E10" s="152">
        <v>0</v>
      </c>
      <c r="F10" s="200">
        <f>D10*3.785</f>
        <v>0</v>
      </c>
      <c r="G10" s="200">
        <f t="shared" ref="G10:G57" si="0">E10*3.785</f>
        <v>0</v>
      </c>
      <c r="H10" s="153"/>
      <c r="I10" s="151">
        <v>0</v>
      </c>
      <c r="J10" s="151">
        <v>6</v>
      </c>
      <c r="K10" s="152">
        <v>5</v>
      </c>
      <c r="L10" s="152"/>
    </row>
    <row r="11" spans="3:22">
      <c r="C11" s="1">
        <v>6</v>
      </c>
      <c r="D11" s="1">
        <v>5</v>
      </c>
      <c r="E11" s="1"/>
      <c r="F11" s="200">
        <f t="shared" ref="F11:F57" si="1">D11*3.785</f>
        <v>18.925000000000001</v>
      </c>
      <c r="G11" s="200">
        <f t="shared" si="0"/>
        <v>0</v>
      </c>
      <c r="H11" s="103"/>
      <c r="I11" s="1">
        <v>6</v>
      </c>
      <c r="J11" s="1">
        <v>8</v>
      </c>
      <c r="K11" s="1">
        <v>6.5</v>
      </c>
      <c r="L11" s="1">
        <v>0</v>
      </c>
    </row>
    <row r="12" spans="3:22">
      <c r="C12" s="1">
        <v>8</v>
      </c>
      <c r="D12" s="1">
        <v>6.5</v>
      </c>
      <c r="E12" s="1"/>
      <c r="F12" s="200">
        <f t="shared" si="1"/>
        <v>24.602499999999999</v>
      </c>
      <c r="G12" s="200">
        <f t="shared" si="0"/>
        <v>0</v>
      </c>
      <c r="H12" s="103"/>
      <c r="I12" s="1">
        <v>8</v>
      </c>
      <c r="J12" s="1">
        <v>10</v>
      </c>
      <c r="K12" s="1">
        <v>8</v>
      </c>
      <c r="L12" s="1">
        <v>27</v>
      </c>
    </row>
    <row r="13" spans="3:22">
      <c r="C13" s="1">
        <v>10</v>
      </c>
      <c r="D13" s="1">
        <v>8</v>
      </c>
      <c r="E13" s="1">
        <v>27</v>
      </c>
      <c r="F13" s="200">
        <f t="shared" si="1"/>
        <v>30.28</v>
      </c>
      <c r="G13" s="200">
        <f t="shared" si="0"/>
        <v>102.19500000000001</v>
      </c>
      <c r="H13" s="103"/>
      <c r="I13" s="1">
        <v>10</v>
      </c>
      <c r="J13" s="1">
        <v>12</v>
      </c>
      <c r="K13" s="1">
        <v>9.1999999999999993</v>
      </c>
      <c r="L13" s="1">
        <v>28.6</v>
      </c>
    </row>
    <row r="14" spans="3:22">
      <c r="C14" s="1">
        <v>12</v>
      </c>
      <c r="D14" s="1">
        <v>9.1999999999999993</v>
      </c>
      <c r="E14" s="1">
        <v>28.6</v>
      </c>
      <c r="F14" s="200">
        <f t="shared" si="1"/>
        <v>34.821999999999996</v>
      </c>
      <c r="G14" s="200">
        <f t="shared" si="0"/>
        <v>108.251</v>
      </c>
      <c r="H14" s="103"/>
      <c r="I14" s="1">
        <v>12</v>
      </c>
      <c r="J14" s="1">
        <v>14</v>
      </c>
      <c r="K14" s="1">
        <v>10.4</v>
      </c>
      <c r="L14" s="1">
        <v>30.2</v>
      </c>
    </row>
    <row r="15" spans="3:22">
      <c r="C15" s="1">
        <v>14</v>
      </c>
      <c r="D15" s="1">
        <v>10.4</v>
      </c>
      <c r="E15" s="1">
        <v>30.2</v>
      </c>
      <c r="F15" s="200">
        <f t="shared" si="1"/>
        <v>39.364000000000004</v>
      </c>
      <c r="G15" s="200">
        <f t="shared" si="0"/>
        <v>114.307</v>
      </c>
      <c r="H15" s="103"/>
      <c r="I15" s="1">
        <v>14</v>
      </c>
      <c r="J15" s="1">
        <v>16</v>
      </c>
      <c r="K15" s="1">
        <v>11.6</v>
      </c>
      <c r="L15" s="1">
        <v>31.8</v>
      </c>
    </row>
    <row r="16" spans="3:22">
      <c r="C16" s="1">
        <v>16</v>
      </c>
      <c r="D16" s="1">
        <v>11.6</v>
      </c>
      <c r="E16" s="1">
        <v>31.8</v>
      </c>
      <c r="F16" s="200">
        <f t="shared" si="1"/>
        <v>43.905999999999999</v>
      </c>
      <c r="G16" s="200">
        <f t="shared" si="0"/>
        <v>120.36300000000001</v>
      </c>
      <c r="H16" s="103"/>
      <c r="I16" s="1">
        <v>16</v>
      </c>
      <c r="J16" s="1">
        <v>18</v>
      </c>
      <c r="K16" s="1">
        <v>12.8</v>
      </c>
      <c r="L16" s="1">
        <v>33.4</v>
      </c>
    </row>
    <row r="17" spans="3:12">
      <c r="C17" s="1">
        <v>18</v>
      </c>
      <c r="D17" s="1">
        <v>12.8</v>
      </c>
      <c r="E17" s="1">
        <v>33.4</v>
      </c>
      <c r="F17" s="200">
        <f t="shared" si="1"/>
        <v>48.448000000000008</v>
      </c>
      <c r="G17" s="200">
        <f t="shared" si="0"/>
        <v>126.419</v>
      </c>
      <c r="H17" s="103"/>
      <c r="I17" s="1">
        <v>18</v>
      </c>
      <c r="J17" s="1">
        <v>20</v>
      </c>
      <c r="K17" s="1">
        <v>14</v>
      </c>
      <c r="L17" s="1">
        <v>35</v>
      </c>
    </row>
    <row r="18" spans="3:12">
      <c r="C18" s="1">
        <v>20</v>
      </c>
      <c r="D18" s="1">
        <v>14</v>
      </c>
      <c r="E18" s="1">
        <v>35</v>
      </c>
      <c r="F18" s="200">
        <f t="shared" si="1"/>
        <v>52.99</v>
      </c>
      <c r="G18" s="200">
        <f t="shared" si="0"/>
        <v>132.47499999999999</v>
      </c>
      <c r="H18" s="103"/>
      <c r="I18" s="1">
        <v>20</v>
      </c>
      <c r="J18" s="1">
        <v>25</v>
      </c>
      <c r="K18" s="1">
        <v>17</v>
      </c>
      <c r="L18" s="1">
        <v>38</v>
      </c>
    </row>
    <row r="19" spans="3:12">
      <c r="C19" s="1">
        <v>25</v>
      </c>
      <c r="D19" s="1">
        <v>17</v>
      </c>
      <c r="E19" s="1">
        <v>38</v>
      </c>
      <c r="F19" s="200">
        <f t="shared" si="1"/>
        <v>64.344999999999999</v>
      </c>
      <c r="G19" s="200">
        <f t="shared" si="0"/>
        <v>143.83000000000001</v>
      </c>
      <c r="H19" s="103"/>
      <c r="I19" s="1">
        <v>25</v>
      </c>
      <c r="J19" s="1">
        <v>30</v>
      </c>
      <c r="K19" s="1">
        <v>20</v>
      </c>
      <c r="L19" s="1">
        <v>41</v>
      </c>
    </row>
    <row r="20" spans="3:12">
      <c r="C20" s="1">
        <v>30</v>
      </c>
      <c r="D20" s="1">
        <v>20</v>
      </c>
      <c r="E20" s="1">
        <v>41</v>
      </c>
      <c r="F20" s="200">
        <f t="shared" si="1"/>
        <v>75.7</v>
      </c>
      <c r="G20" s="200">
        <f t="shared" si="0"/>
        <v>155.185</v>
      </c>
      <c r="H20" s="103"/>
      <c r="I20" s="1">
        <v>30</v>
      </c>
      <c r="J20" s="1">
        <v>35</v>
      </c>
      <c r="K20" s="1">
        <v>22.5</v>
      </c>
      <c r="L20" s="1">
        <v>43.8</v>
      </c>
    </row>
    <row r="21" spans="3:12">
      <c r="C21" s="1">
        <v>35</v>
      </c>
      <c r="D21" s="1">
        <v>22.5</v>
      </c>
      <c r="E21" s="1">
        <v>43.8</v>
      </c>
      <c r="F21" s="200">
        <f t="shared" si="1"/>
        <v>85.162500000000009</v>
      </c>
      <c r="G21" s="200">
        <f t="shared" si="0"/>
        <v>165.78299999999999</v>
      </c>
      <c r="H21" s="103"/>
      <c r="I21" s="1">
        <v>35</v>
      </c>
      <c r="J21" s="1">
        <v>40</v>
      </c>
      <c r="K21" s="1">
        <v>24.8</v>
      </c>
      <c r="L21" s="1">
        <v>46.5</v>
      </c>
    </row>
    <row r="22" spans="3:12">
      <c r="C22" s="1">
        <v>40</v>
      </c>
      <c r="D22" s="1">
        <v>24.8</v>
      </c>
      <c r="E22" s="1">
        <v>46.5</v>
      </c>
      <c r="F22" s="200">
        <f t="shared" si="1"/>
        <v>93.868000000000009</v>
      </c>
      <c r="G22" s="200">
        <f t="shared" si="0"/>
        <v>176.0025</v>
      </c>
      <c r="H22" s="103"/>
      <c r="I22" s="1">
        <v>40</v>
      </c>
      <c r="J22" s="1">
        <v>45</v>
      </c>
      <c r="K22" s="1">
        <v>27</v>
      </c>
      <c r="L22" s="1">
        <v>49</v>
      </c>
    </row>
    <row r="23" spans="3:12">
      <c r="C23" s="1">
        <v>45</v>
      </c>
      <c r="D23" s="1">
        <v>27</v>
      </c>
      <c r="E23" s="1">
        <v>49</v>
      </c>
      <c r="F23" s="200">
        <f t="shared" si="1"/>
        <v>102.19500000000001</v>
      </c>
      <c r="G23" s="200">
        <f t="shared" si="0"/>
        <v>185.465</v>
      </c>
      <c r="H23" s="103"/>
      <c r="I23" s="1">
        <v>45</v>
      </c>
      <c r="J23" s="1">
        <v>50</v>
      </c>
      <c r="K23" s="1">
        <v>29</v>
      </c>
      <c r="L23" s="1">
        <v>51.5</v>
      </c>
    </row>
    <row r="24" spans="3:12">
      <c r="C24" s="1">
        <v>50</v>
      </c>
      <c r="D24" s="1">
        <v>29</v>
      </c>
      <c r="E24" s="1">
        <v>51.5</v>
      </c>
      <c r="F24" s="200">
        <f t="shared" si="1"/>
        <v>109.765</v>
      </c>
      <c r="G24" s="200">
        <f t="shared" si="0"/>
        <v>194.92750000000001</v>
      </c>
      <c r="H24" s="103"/>
      <c r="I24" s="1">
        <v>50</v>
      </c>
      <c r="J24" s="1">
        <v>60</v>
      </c>
      <c r="K24" s="1">
        <v>32</v>
      </c>
      <c r="L24" s="1">
        <v>55</v>
      </c>
    </row>
    <row r="25" spans="3:12">
      <c r="C25" s="1">
        <v>60</v>
      </c>
      <c r="D25" s="1">
        <v>32</v>
      </c>
      <c r="E25" s="1">
        <v>55</v>
      </c>
      <c r="F25" s="200">
        <f t="shared" si="1"/>
        <v>121.12</v>
      </c>
      <c r="G25" s="200">
        <f t="shared" si="0"/>
        <v>208.17500000000001</v>
      </c>
      <c r="H25" s="103"/>
      <c r="I25" s="1">
        <v>60</v>
      </c>
      <c r="J25" s="1">
        <v>70</v>
      </c>
      <c r="K25" s="1">
        <v>35</v>
      </c>
      <c r="L25" s="1">
        <v>58.5</v>
      </c>
    </row>
    <row r="26" spans="3:12">
      <c r="C26" s="1">
        <v>70</v>
      </c>
      <c r="D26" s="1">
        <v>35</v>
      </c>
      <c r="E26" s="1">
        <v>58.5</v>
      </c>
      <c r="F26" s="200">
        <f t="shared" si="1"/>
        <v>132.47499999999999</v>
      </c>
      <c r="G26" s="200">
        <f t="shared" si="0"/>
        <v>221.42250000000001</v>
      </c>
      <c r="H26" s="103"/>
      <c r="I26" s="1">
        <v>70</v>
      </c>
      <c r="J26" s="1">
        <v>80</v>
      </c>
      <c r="K26" s="1">
        <v>38</v>
      </c>
      <c r="L26" s="1">
        <v>62</v>
      </c>
    </row>
    <row r="27" spans="3:12">
      <c r="C27" s="1">
        <v>80</v>
      </c>
      <c r="D27" s="1">
        <v>38</v>
      </c>
      <c r="E27" s="1">
        <v>62</v>
      </c>
      <c r="F27" s="200">
        <f t="shared" si="1"/>
        <v>143.83000000000001</v>
      </c>
      <c r="G27" s="200">
        <f t="shared" si="0"/>
        <v>234.67000000000002</v>
      </c>
      <c r="H27" s="103"/>
      <c r="I27" s="1">
        <v>80</v>
      </c>
      <c r="J27" s="1">
        <v>90</v>
      </c>
      <c r="K27" s="1">
        <v>41</v>
      </c>
      <c r="L27" s="1">
        <v>64.8</v>
      </c>
    </row>
    <row r="28" spans="3:12">
      <c r="C28" s="1">
        <v>90</v>
      </c>
      <c r="D28" s="1">
        <v>41</v>
      </c>
      <c r="E28" s="1">
        <v>64.8</v>
      </c>
      <c r="F28" s="200">
        <f t="shared" si="1"/>
        <v>155.185</v>
      </c>
      <c r="G28" s="200">
        <f t="shared" si="0"/>
        <v>245.268</v>
      </c>
      <c r="H28" s="103"/>
      <c r="I28" s="1">
        <v>90</v>
      </c>
      <c r="J28" s="1">
        <v>100</v>
      </c>
      <c r="K28" s="1">
        <v>43.5</v>
      </c>
      <c r="L28" s="1">
        <v>67.5</v>
      </c>
    </row>
    <row r="29" spans="3:12">
      <c r="C29" s="1">
        <v>100</v>
      </c>
      <c r="D29" s="1">
        <v>43.5</v>
      </c>
      <c r="E29" s="1">
        <v>67.5</v>
      </c>
      <c r="F29" s="200">
        <f t="shared" si="1"/>
        <v>164.64750000000001</v>
      </c>
      <c r="G29" s="200">
        <f t="shared" si="0"/>
        <v>255.48750000000001</v>
      </c>
      <c r="H29" s="103"/>
      <c r="I29" s="1">
        <v>100</v>
      </c>
      <c r="J29" s="1">
        <v>120</v>
      </c>
      <c r="K29" s="1">
        <v>48</v>
      </c>
      <c r="L29" s="1">
        <v>72.5</v>
      </c>
    </row>
    <row r="30" spans="3:12">
      <c r="C30" s="1">
        <v>120</v>
      </c>
      <c r="D30" s="1">
        <v>48</v>
      </c>
      <c r="E30" s="1">
        <v>72.5</v>
      </c>
      <c r="F30" s="200">
        <f t="shared" si="1"/>
        <v>181.68</v>
      </c>
      <c r="G30" s="200">
        <f t="shared" si="0"/>
        <v>274.41250000000002</v>
      </c>
      <c r="H30" s="103"/>
      <c r="I30" s="1">
        <v>120</v>
      </c>
      <c r="J30" s="1">
        <v>140</v>
      </c>
      <c r="K30" s="1">
        <v>52.5</v>
      </c>
      <c r="L30" s="1">
        <v>77.5</v>
      </c>
    </row>
    <row r="31" spans="3:12">
      <c r="C31" s="1">
        <v>140</v>
      </c>
      <c r="D31" s="1">
        <v>52.5</v>
      </c>
      <c r="E31" s="1">
        <v>77.5</v>
      </c>
      <c r="F31" s="200">
        <f t="shared" si="1"/>
        <v>198.71250000000001</v>
      </c>
      <c r="G31" s="200">
        <f t="shared" si="0"/>
        <v>293.33750000000003</v>
      </c>
      <c r="H31" s="103"/>
      <c r="I31" s="1">
        <v>140</v>
      </c>
      <c r="J31" s="1">
        <v>160</v>
      </c>
      <c r="K31" s="1">
        <v>57</v>
      </c>
      <c r="L31" s="1">
        <v>82.5</v>
      </c>
    </row>
    <row r="32" spans="3:12">
      <c r="C32" s="1">
        <v>160</v>
      </c>
      <c r="D32" s="1">
        <v>57</v>
      </c>
      <c r="E32" s="1">
        <v>82.5</v>
      </c>
      <c r="F32" s="200">
        <f t="shared" si="1"/>
        <v>215.745</v>
      </c>
      <c r="G32" s="200">
        <f t="shared" si="0"/>
        <v>312.26249999999999</v>
      </c>
      <c r="H32" s="103"/>
      <c r="I32" s="1">
        <v>160</v>
      </c>
      <c r="J32" s="1">
        <v>180</v>
      </c>
      <c r="K32" s="1">
        <v>61</v>
      </c>
      <c r="L32" s="1">
        <v>87</v>
      </c>
    </row>
    <row r="33" spans="3:12">
      <c r="C33" s="1">
        <v>180</v>
      </c>
      <c r="D33" s="1">
        <v>61</v>
      </c>
      <c r="E33" s="1">
        <v>87</v>
      </c>
      <c r="F33" s="200">
        <f t="shared" si="1"/>
        <v>230.88500000000002</v>
      </c>
      <c r="G33" s="200">
        <f t="shared" si="0"/>
        <v>329.29500000000002</v>
      </c>
      <c r="H33" s="103"/>
      <c r="I33" s="1">
        <v>180</v>
      </c>
      <c r="J33" s="1">
        <v>200</v>
      </c>
      <c r="K33" s="1">
        <v>65</v>
      </c>
      <c r="L33" s="1">
        <v>91.5</v>
      </c>
    </row>
    <row r="34" spans="3:12">
      <c r="C34" s="1">
        <v>200</v>
      </c>
      <c r="D34" s="1">
        <v>65</v>
      </c>
      <c r="E34" s="1">
        <v>91.5</v>
      </c>
      <c r="F34" s="200">
        <f t="shared" si="1"/>
        <v>246.02500000000001</v>
      </c>
      <c r="G34" s="200">
        <f t="shared" si="0"/>
        <v>346.32749999999999</v>
      </c>
      <c r="H34" s="103"/>
      <c r="I34" s="1">
        <v>200</v>
      </c>
      <c r="J34" s="1">
        <v>225</v>
      </c>
      <c r="K34" s="1">
        <v>70</v>
      </c>
      <c r="L34" s="1">
        <v>97</v>
      </c>
    </row>
    <row r="35" spans="3:12">
      <c r="C35" s="1">
        <v>225</v>
      </c>
      <c r="D35" s="1">
        <v>70</v>
      </c>
      <c r="E35" s="1">
        <v>97</v>
      </c>
      <c r="F35" s="200">
        <f t="shared" si="1"/>
        <v>264.95</v>
      </c>
      <c r="G35" s="200">
        <f t="shared" si="0"/>
        <v>367.14500000000004</v>
      </c>
      <c r="H35" s="103"/>
      <c r="I35" s="1">
        <v>225</v>
      </c>
      <c r="J35" s="1">
        <v>250</v>
      </c>
      <c r="K35" s="1">
        <v>75</v>
      </c>
      <c r="L35" s="1">
        <v>101</v>
      </c>
    </row>
    <row r="36" spans="3:12">
      <c r="C36" s="1">
        <v>250</v>
      </c>
      <c r="D36" s="1">
        <v>75</v>
      </c>
      <c r="E36" s="1">
        <v>101</v>
      </c>
      <c r="F36" s="200">
        <f t="shared" si="1"/>
        <v>283.875</v>
      </c>
      <c r="G36" s="200">
        <f t="shared" si="0"/>
        <v>382.28500000000003</v>
      </c>
      <c r="H36" s="103"/>
      <c r="I36" s="1">
        <v>250</v>
      </c>
      <c r="J36" s="1">
        <v>275</v>
      </c>
      <c r="K36" s="1">
        <v>80</v>
      </c>
      <c r="L36" s="1">
        <v>105.5</v>
      </c>
    </row>
    <row r="37" spans="3:12">
      <c r="C37" s="1">
        <v>275</v>
      </c>
      <c r="D37" s="1">
        <v>80</v>
      </c>
      <c r="E37" s="1">
        <v>105.5</v>
      </c>
      <c r="F37" s="200">
        <f t="shared" si="1"/>
        <v>302.8</v>
      </c>
      <c r="G37" s="200">
        <f t="shared" si="0"/>
        <v>399.3175</v>
      </c>
      <c r="H37" s="103"/>
      <c r="I37" s="1">
        <v>275</v>
      </c>
      <c r="J37" s="1">
        <v>300</v>
      </c>
      <c r="K37" s="1">
        <v>85</v>
      </c>
      <c r="L37" s="1">
        <v>110</v>
      </c>
    </row>
    <row r="38" spans="3:12">
      <c r="C38" s="1">
        <v>300</v>
      </c>
      <c r="D38" s="1">
        <v>85</v>
      </c>
      <c r="E38" s="1">
        <v>110</v>
      </c>
      <c r="F38" s="200">
        <f t="shared" si="1"/>
        <v>321.72500000000002</v>
      </c>
      <c r="G38" s="200">
        <f t="shared" si="0"/>
        <v>416.35</v>
      </c>
      <c r="H38" s="103"/>
      <c r="I38" s="1">
        <v>300</v>
      </c>
      <c r="J38" s="1">
        <v>400</v>
      </c>
      <c r="K38" s="1">
        <v>105</v>
      </c>
      <c r="L38" s="1">
        <v>126</v>
      </c>
    </row>
    <row r="39" spans="3:12">
      <c r="C39" s="1">
        <v>400</v>
      </c>
      <c r="D39" s="1">
        <v>105</v>
      </c>
      <c r="E39" s="1">
        <v>126</v>
      </c>
      <c r="F39" s="200">
        <f t="shared" si="1"/>
        <v>397.42500000000001</v>
      </c>
      <c r="G39" s="200">
        <f t="shared" si="0"/>
        <v>476.91</v>
      </c>
      <c r="H39" s="103"/>
      <c r="I39" s="1">
        <v>400</v>
      </c>
      <c r="J39" s="1">
        <v>500</v>
      </c>
      <c r="K39" s="1">
        <v>125</v>
      </c>
      <c r="L39" s="1">
        <v>142</v>
      </c>
    </row>
    <row r="40" spans="3:12">
      <c r="C40" s="1">
        <v>500</v>
      </c>
      <c r="D40" s="1">
        <v>125</v>
      </c>
      <c r="E40" s="1">
        <v>142</v>
      </c>
      <c r="F40" s="200">
        <f t="shared" si="1"/>
        <v>473.125</v>
      </c>
      <c r="G40" s="200">
        <f t="shared" si="0"/>
        <v>537.47</v>
      </c>
      <c r="H40" s="103"/>
      <c r="I40" s="1">
        <v>500</v>
      </c>
      <c r="J40" s="1">
        <v>750</v>
      </c>
      <c r="K40" s="1">
        <v>170</v>
      </c>
      <c r="L40" s="1">
        <v>178</v>
      </c>
    </row>
    <row r="41" spans="3:12">
      <c r="C41" s="1">
        <v>750</v>
      </c>
      <c r="D41" s="1">
        <v>170</v>
      </c>
      <c r="E41" s="1">
        <v>178</v>
      </c>
      <c r="F41" s="200">
        <f t="shared" si="1"/>
        <v>643.45000000000005</v>
      </c>
      <c r="G41" s="200">
        <f t="shared" si="0"/>
        <v>673.73</v>
      </c>
      <c r="H41" s="103"/>
      <c r="I41" s="1">
        <v>750</v>
      </c>
      <c r="J41" s="129">
        <v>1000</v>
      </c>
      <c r="K41" s="129">
        <v>208</v>
      </c>
      <c r="L41" s="129">
        <v>208</v>
      </c>
    </row>
    <row r="42" spans="3:12">
      <c r="C42" s="129">
        <v>1000</v>
      </c>
      <c r="D42" s="129">
        <v>208</v>
      </c>
      <c r="E42" s="129">
        <v>208</v>
      </c>
      <c r="F42" s="200">
        <f t="shared" si="1"/>
        <v>787.28</v>
      </c>
      <c r="G42" s="200">
        <f t="shared" si="0"/>
        <v>787.28</v>
      </c>
      <c r="H42" s="103"/>
      <c r="I42" s="129">
        <v>1000</v>
      </c>
      <c r="J42" s="129">
        <v>1250</v>
      </c>
      <c r="K42" s="129">
        <v>240</v>
      </c>
      <c r="L42" s="129">
        <v>240</v>
      </c>
    </row>
    <row r="43" spans="3:12">
      <c r="C43" s="129">
        <v>1250</v>
      </c>
      <c r="D43" s="129">
        <v>240</v>
      </c>
      <c r="E43" s="129">
        <v>240</v>
      </c>
      <c r="F43" s="200">
        <f t="shared" si="1"/>
        <v>908.40000000000009</v>
      </c>
      <c r="G43" s="200">
        <f t="shared" si="0"/>
        <v>908.40000000000009</v>
      </c>
      <c r="H43" s="103"/>
      <c r="I43" s="129">
        <v>1250</v>
      </c>
      <c r="J43" s="129">
        <v>1500</v>
      </c>
      <c r="K43" s="129">
        <v>267</v>
      </c>
      <c r="L43" s="129">
        <v>267</v>
      </c>
    </row>
    <row r="44" spans="3:12">
      <c r="C44" s="129">
        <v>1500</v>
      </c>
      <c r="D44" s="129">
        <v>267</v>
      </c>
      <c r="E44" s="129">
        <v>267</v>
      </c>
      <c r="F44" s="201">
        <f t="shared" si="1"/>
        <v>1010.595</v>
      </c>
      <c r="G44" s="201">
        <f t="shared" si="0"/>
        <v>1010.595</v>
      </c>
      <c r="H44" s="103"/>
      <c r="I44" s="129">
        <v>1500</v>
      </c>
      <c r="J44" s="129">
        <v>1750</v>
      </c>
      <c r="K44" s="129">
        <v>294</v>
      </c>
      <c r="L44" s="129">
        <v>294</v>
      </c>
    </row>
    <row r="45" spans="3:12">
      <c r="C45" s="129">
        <v>1750</v>
      </c>
      <c r="D45" s="129">
        <v>294</v>
      </c>
      <c r="E45" s="129">
        <v>294</v>
      </c>
      <c r="F45" s="201">
        <f t="shared" si="1"/>
        <v>1112.79</v>
      </c>
      <c r="G45" s="201">
        <f t="shared" si="0"/>
        <v>1112.79</v>
      </c>
      <c r="H45" s="103"/>
      <c r="I45" s="129">
        <v>1750</v>
      </c>
      <c r="J45" s="129">
        <v>2000</v>
      </c>
      <c r="K45" s="129">
        <v>321</v>
      </c>
      <c r="L45" s="129">
        <v>321</v>
      </c>
    </row>
    <row r="46" spans="3:12">
      <c r="C46" s="129">
        <v>2000</v>
      </c>
      <c r="D46" s="129">
        <v>321</v>
      </c>
      <c r="E46" s="129">
        <v>321</v>
      </c>
      <c r="F46" s="201">
        <f t="shared" si="1"/>
        <v>1214.9850000000001</v>
      </c>
      <c r="G46" s="201">
        <f t="shared" si="0"/>
        <v>1214.9850000000001</v>
      </c>
      <c r="H46" s="103"/>
      <c r="I46" s="129">
        <v>2000</v>
      </c>
      <c r="J46" s="129">
        <v>2250</v>
      </c>
      <c r="K46" s="129">
        <v>348</v>
      </c>
      <c r="L46" s="129">
        <v>348</v>
      </c>
    </row>
    <row r="47" spans="3:12">
      <c r="C47" s="129">
        <v>2250</v>
      </c>
      <c r="D47" s="129">
        <v>348</v>
      </c>
      <c r="E47" s="129">
        <v>348</v>
      </c>
      <c r="F47" s="201">
        <f t="shared" si="1"/>
        <v>1317.18</v>
      </c>
      <c r="G47" s="201">
        <f t="shared" si="0"/>
        <v>1317.18</v>
      </c>
      <c r="H47" s="103"/>
      <c r="I47" s="129">
        <v>2250</v>
      </c>
      <c r="J47" s="129">
        <v>2500</v>
      </c>
      <c r="K47" s="129">
        <v>375</v>
      </c>
      <c r="L47" s="129">
        <v>375</v>
      </c>
    </row>
    <row r="48" spans="3:12">
      <c r="C48" s="129">
        <v>2500</v>
      </c>
      <c r="D48" s="129">
        <v>375</v>
      </c>
      <c r="E48" s="129">
        <v>375</v>
      </c>
      <c r="F48" s="201">
        <f t="shared" si="1"/>
        <v>1419.375</v>
      </c>
      <c r="G48" s="201">
        <f t="shared" si="0"/>
        <v>1419.375</v>
      </c>
      <c r="H48" s="103"/>
      <c r="I48" s="129">
        <v>2500</v>
      </c>
      <c r="J48" s="129">
        <v>2750</v>
      </c>
      <c r="K48" s="129">
        <v>402</v>
      </c>
      <c r="L48" s="129">
        <v>402</v>
      </c>
    </row>
    <row r="49" spans="3:12">
      <c r="C49" s="129">
        <v>2750</v>
      </c>
      <c r="D49" s="129">
        <v>402</v>
      </c>
      <c r="E49" s="129">
        <v>402</v>
      </c>
      <c r="F49" s="201">
        <f t="shared" si="1"/>
        <v>1521.5700000000002</v>
      </c>
      <c r="G49" s="201">
        <f t="shared" si="0"/>
        <v>1521.5700000000002</v>
      </c>
      <c r="H49" s="103"/>
      <c r="I49" s="129">
        <v>2750</v>
      </c>
      <c r="J49" s="132">
        <v>3000</v>
      </c>
      <c r="K49" s="132">
        <v>432</v>
      </c>
      <c r="L49" s="132">
        <v>432</v>
      </c>
    </row>
    <row r="50" spans="3:12">
      <c r="C50" s="132">
        <v>3000</v>
      </c>
      <c r="D50" s="132">
        <v>432</v>
      </c>
      <c r="E50" s="132">
        <v>432</v>
      </c>
      <c r="F50" s="201">
        <f t="shared" si="1"/>
        <v>1635.1200000000001</v>
      </c>
      <c r="G50" s="201">
        <f t="shared" si="0"/>
        <v>1635.1200000000001</v>
      </c>
      <c r="H50" s="103"/>
      <c r="I50" s="132">
        <v>3000</v>
      </c>
      <c r="J50" s="132">
        <v>4000</v>
      </c>
      <c r="K50" s="132">
        <v>525</v>
      </c>
      <c r="L50" s="132">
        <v>525</v>
      </c>
    </row>
    <row r="51" spans="3:12">
      <c r="C51" s="132">
        <v>4000</v>
      </c>
      <c r="D51" s="132">
        <v>525</v>
      </c>
      <c r="E51" s="132">
        <v>525</v>
      </c>
      <c r="F51" s="201">
        <f t="shared" si="1"/>
        <v>1987.125</v>
      </c>
      <c r="G51" s="201">
        <f t="shared" si="0"/>
        <v>1987.125</v>
      </c>
      <c r="H51" s="103"/>
      <c r="I51" s="132">
        <v>4000</v>
      </c>
      <c r="J51" s="132">
        <v>5000</v>
      </c>
      <c r="K51" s="132">
        <v>593</v>
      </c>
      <c r="L51" s="132">
        <v>593</v>
      </c>
    </row>
    <row r="52" spans="3:12">
      <c r="C52" s="132">
        <v>5000</v>
      </c>
      <c r="D52" s="132">
        <v>593</v>
      </c>
      <c r="E52" s="132">
        <v>593</v>
      </c>
      <c r="F52" s="201">
        <f t="shared" si="1"/>
        <v>2244.5050000000001</v>
      </c>
      <c r="G52" s="201">
        <f t="shared" si="0"/>
        <v>2244.5050000000001</v>
      </c>
      <c r="H52" s="103"/>
      <c r="I52" s="132">
        <v>5000</v>
      </c>
      <c r="J52" s="132">
        <v>6000</v>
      </c>
      <c r="K52" s="132">
        <v>643</v>
      </c>
      <c r="L52" s="132">
        <v>643</v>
      </c>
    </row>
    <row r="53" spans="3:12">
      <c r="C53" s="132">
        <v>6000</v>
      </c>
      <c r="D53" s="132">
        <v>643</v>
      </c>
      <c r="E53" s="132">
        <v>643</v>
      </c>
      <c r="F53" s="201">
        <f t="shared" si="1"/>
        <v>2433.7550000000001</v>
      </c>
      <c r="G53" s="201">
        <f t="shared" si="0"/>
        <v>2433.7550000000001</v>
      </c>
      <c r="H53" s="103"/>
      <c r="I53" s="132">
        <v>6000</v>
      </c>
      <c r="J53" s="132">
        <v>7000</v>
      </c>
      <c r="K53" s="132">
        <v>685</v>
      </c>
      <c r="L53" s="132">
        <v>685</v>
      </c>
    </row>
    <row r="54" spans="3:12">
      <c r="C54" s="132">
        <v>7000</v>
      </c>
      <c r="D54" s="132">
        <v>685</v>
      </c>
      <c r="E54" s="132">
        <v>685</v>
      </c>
      <c r="F54" s="201">
        <f t="shared" si="1"/>
        <v>2592.7249999999999</v>
      </c>
      <c r="G54" s="201">
        <f t="shared" si="0"/>
        <v>2592.7249999999999</v>
      </c>
      <c r="H54" s="103"/>
      <c r="I54" s="132">
        <v>7000</v>
      </c>
      <c r="J54" s="132">
        <v>8000</v>
      </c>
      <c r="K54" s="132">
        <v>718</v>
      </c>
      <c r="L54" s="132">
        <v>718</v>
      </c>
    </row>
    <row r="55" spans="3:12">
      <c r="C55" s="132">
        <v>8000</v>
      </c>
      <c r="D55" s="132">
        <v>718</v>
      </c>
      <c r="E55" s="132">
        <v>718</v>
      </c>
      <c r="F55" s="201">
        <f t="shared" si="1"/>
        <v>2717.63</v>
      </c>
      <c r="G55" s="201">
        <f t="shared" si="0"/>
        <v>2717.63</v>
      </c>
      <c r="H55" s="103"/>
      <c r="I55" s="132">
        <v>8000</v>
      </c>
      <c r="J55" s="132">
        <v>9000</v>
      </c>
      <c r="K55" s="132">
        <v>745</v>
      </c>
      <c r="L55" s="132">
        <v>745</v>
      </c>
    </row>
    <row r="56" spans="3:12">
      <c r="C56" s="132">
        <v>9000</v>
      </c>
      <c r="D56" s="132">
        <v>745</v>
      </c>
      <c r="E56" s="132">
        <v>745</v>
      </c>
      <c r="F56" s="201">
        <f t="shared" si="1"/>
        <v>2819.8250000000003</v>
      </c>
      <c r="G56" s="201">
        <f t="shared" si="0"/>
        <v>2819.8250000000003</v>
      </c>
      <c r="H56" s="103"/>
      <c r="I56" s="132">
        <v>9000</v>
      </c>
      <c r="J56" s="132">
        <v>10000</v>
      </c>
      <c r="K56" s="132">
        <v>769</v>
      </c>
      <c r="L56" s="132">
        <v>769</v>
      </c>
    </row>
    <row r="57" spans="3:12">
      <c r="C57" s="132">
        <v>10000</v>
      </c>
      <c r="D57" s="132">
        <v>769</v>
      </c>
      <c r="E57" s="132">
        <v>769</v>
      </c>
      <c r="F57" s="201">
        <f t="shared" si="1"/>
        <v>2910.665</v>
      </c>
      <c r="G57" s="201">
        <f t="shared" si="0"/>
        <v>2910.665</v>
      </c>
      <c r="H57" s="103"/>
      <c r="I57" s="132">
        <v>10000</v>
      </c>
      <c r="J57" s="132"/>
      <c r="K57" s="132">
        <v>769</v>
      </c>
      <c r="L57" s="132">
        <v>769</v>
      </c>
    </row>
  </sheetData>
  <mergeCells count="3">
    <mergeCell ref="D8:E8"/>
    <mergeCell ref="D3:E3"/>
    <mergeCell ref="K8:L8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C4:J27"/>
  <sheetViews>
    <sheetView workbookViewId="0">
      <selection activeCell="C19" sqref="C19"/>
    </sheetView>
  </sheetViews>
  <sheetFormatPr defaultRowHeight="12.75"/>
  <cols>
    <col min="3" max="3" width="8.28515625" customWidth="1"/>
    <col min="4" max="4" width="8.85546875" customWidth="1"/>
    <col min="5" max="5" width="9.28515625" customWidth="1"/>
    <col min="6" max="6" width="10.42578125" customWidth="1"/>
    <col min="7" max="7" width="11.28515625" customWidth="1"/>
    <col min="8" max="8" width="10.28515625" customWidth="1"/>
    <col min="9" max="9" width="10.7109375" customWidth="1"/>
    <col min="10" max="10" width="11" customWidth="1"/>
  </cols>
  <sheetData>
    <row r="4" spans="3:10">
      <c r="C4" s="9" t="s">
        <v>71</v>
      </c>
      <c r="D4" s="9"/>
      <c r="E4" s="9"/>
      <c r="F4" s="9"/>
      <c r="G4" s="9"/>
    </row>
    <row r="5" spans="3:10">
      <c r="C5" s="70" t="s">
        <v>66</v>
      </c>
      <c r="D5" s="70"/>
      <c r="E5" s="70"/>
      <c r="F5" s="70"/>
      <c r="G5" s="70"/>
    </row>
    <row r="6" spans="3:10">
      <c r="C6" t="s">
        <v>15</v>
      </c>
      <c r="G6" s="143">
        <v>4.5999999999999999E-2</v>
      </c>
      <c r="H6" t="s">
        <v>16</v>
      </c>
    </row>
    <row r="7" spans="3:10" ht="13.5" thickBot="1">
      <c r="C7" s="70" t="s">
        <v>36</v>
      </c>
      <c r="D7" s="70"/>
      <c r="E7" s="70"/>
      <c r="F7" s="70"/>
      <c r="G7" s="144">
        <v>7.9999999999999996E-7</v>
      </c>
      <c r="H7" s="70" t="s">
        <v>37</v>
      </c>
      <c r="I7" t="s">
        <v>70</v>
      </c>
    </row>
    <row r="8" spans="3:10" s="139" customFormat="1" ht="25.5" customHeight="1">
      <c r="C8" s="229" t="s">
        <v>2</v>
      </c>
      <c r="D8" s="228"/>
      <c r="E8" s="227" t="s">
        <v>3</v>
      </c>
      <c r="F8" s="228"/>
      <c r="G8" s="138" t="s">
        <v>5</v>
      </c>
      <c r="H8" s="159" t="s">
        <v>24</v>
      </c>
      <c r="I8" s="225" t="s">
        <v>69</v>
      </c>
      <c r="J8" s="226"/>
    </row>
    <row r="9" spans="3:10" s="139" customFormat="1" ht="25.5" customHeight="1" thickBot="1">
      <c r="C9" s="140" t="s">
        <v>44</v>
      </c>
      <c r="D9" s="158" t="s">
        <v>45</v>
      </c>
      <c r="E9" s="141" t="s">
        <v>76</v>
      </c>
      <c r="F9" s="141" t="s">
        <v>74</v>
      </c>
      <c r="G9" s="141" t="s">
        <v>6</v>
      </c>
      <c r="H9" s="181" t="s">
        <v>7</v>
      </c>
      <c r="I9" s="184" t="s">
        <v>67</v>
      </c>
      <c r="J9" s="142" t="s">
        <v>68</v>
      </c>
    </row>
    <row r="10" spans="3:10" s="139" customFormat="1" ht="25.5" customHeight="1">
      <c r="C10" s="175">
        <v>2</v>
      </c>
      <c r="D10" s="176">
        <f>C10*3.785</f>
        <v>7.57</v>
      </c>
      <c r="E10" s="177">
        <v>0.5</v>
      </c>
      <c r="F10" s="177">
        <v>15</v>
      </c>
      <c r="G10" s="178">
        <v>0.64332699731254939</v>
      </c>
      <c r="H10" s="182">
        <v>4.5446675502827096</v>
      </c>
      <c r="I10" s="185"/>
      <c r="J10" s="179"/>
    </row>
    <row r="11" spans="3:10" s="139" customFormat="1" ht="25.5" customHeight="1">
      <c r="C11" s="171">
        <v>5</v>
      </c>
      <c r="D11" s="172">
        <f t="shared" ref="D11:D25" si="0">C11*3.785</f>
        <v>18.925000000000001</v>
      </c>
      <c r="E11" s="163">
        <v>0.75</v>
      </c>
      <c r="F11" s="163">
        <v>20</v>
      </c>
      <c r="G11" s="164">
        <v>0.91642753951637579</v>
      </c>
      <c r="H11" s="180">
        <v>6.0672304259406493</v>
      </c>
      <c r="I11" s="186">
        <v>6</v>
      </c>
      <c r="J11" s="165">
        <v>6</v>
      </c>
    </row>
    <row r="12" spans="3:10" s="139" customFormat="1" ht="25.5" customHeight="1">
      <c r="C12" s="187">
        <v>9</v>
      </c>
      <c r="D12" s="188">
        <f t="shared" si="0"/>
        <v>34.064999999999998</v>
      </c>
      <c r="E12" s="189">
        <v>1</v>
      </c>
      <c r="F12" s="189">
        <v>25</v>
      </c>
      <c r="G12" s="190">
        <v>1.0178272730824558</v>
      </c>
      <c r="H12" s="191">
        <v>5.4192214194944457</v>
      </c>
      <c r="I12" s="192">
        <v>11</v>
      </c>
      <c r="J12" s="193"/>
    </row>
    <row r="13" spans="3:10" s="139" customFormat="1" ht="25.5" customHeight="1">
      <c r="C13" s="171">
        <v>19</v>
      </c>
      <c r="D13" s="172">
        <f t="shared" si="0"/>
        <v>71.915000000000006</v>
      </c>
      <c r="E13" s="163">
        <v>1.25</v>
      </c>
      <c r="F13" s="163">
        <v>32</v>
      </c>
      <c r="G13" s="164">
        <v>1.2783751942412138</v>
      </c>
      <c r="H13" s="180">
        <v>5.9834170350141713</v>
      </c>
      <c r="I13" s="186">
        <v>28</v>
      </c>
      <c r="J13" s="165"/>
    </row>
    <row r="14" spans="3:10" s="139" customFormat="1" ht="25.5" customHeight="1">
      <c r="C14" s="187">
        <v>30</v>
      </c>
      <c r="D14" s="188">
        <f t="shared" si="0"/>
        <v>113.55000000000001</v>
      </c>
      <c r="E14" s="189">
        <v>1.5</v>
      </c>
      <c r="F14" s="189">
        <v>40</v>
      </c>
      <c r="G14" s="190">
        <v>1.4402969910204177</v>
      </c>
      <c r="H14" s="191">
        <v>6.0630631186856707</v>
      </c>
      <c r="I14" s="192">
        <v>50</v>
      </c>
      <c r="J14" s="193">
        <v>13</v>
      </c>
    </row>
    <row r="15" spans="3:10" s="139" customFormat="1" ht="25.5" customHeight="1">
      <c r="C15" s="171">
        <v>50</v>
      </c>
      <c r="D15" s="172">
        <f t="shared" si="0"/>
        <v>189.25</v>
      </c>
      <c r="E15" s="163">
        <v>2</v>
      </c>
      <c r="F15" s="163">
        <v>50</v>
      </c>
      <c r="G15" s="164">
        <v>1.4563695894142048</v>
      </c>
      <c r="H15" s="180">
        <v>4.530648697598437</v>
      </c>
      <c r="I15" s="186">
        <v>128</v>
      </c>
      <c r="J15" s="165">
        <v>47</v>
      </c>
    </row>
    <row r="16" spans="3:10" s="139" customFormat="1" ht="25.5" customHeight="1">
      <c r="C16" s="187">
        <v>80</v>
      </c>
      <c r="D16" s="188">
        <f t="shared" si="0"/>
        <v>302.8</v>
      </c>
      <c r="E16" s="189">
        <v>2.5</v>
      </c>
      <c r="F16" s="189">
        <v>65</v>
      </c>
      <c r="G16" s="190">
        <v>1.592914700980917</v>
      </c>
      <c r="H16" s="191">
        <v>4.2407397657841361</v>
      </c>
      <c r="I16" s="192">
        <v>275</v>
      </c>
      <c r="J16" s="193">
        <v>150</v>
      </c>
    </row>
    <row r="17" spans="3:10" s="139" customFormat="1" ht="25.5" customHeight="1">
      <c r="C17" s="171">
        <v>150</v>
      </c>
      <c r="D17" s="172">
        <f t="shared" si="0"/>
        <v>567.75</v>
      </c>
      <c r="E17" s="163">
        <v>3</v>
      </c>
      <c r="F17" s="163">
        <v>80</v>
      </c>
      <c r="G17" s="164">
        <v>1.9831844076763423</v>
      </c>
      <c r="H17" s="180">
        <v>5.0032375213758593</v>
      </c>
      <c r="I17" s="186">
        <v>638</v>
      </c>
      <c r="J17" s="165">
        <v>553</v>
      </c>
    </row>
    <row r="18" spans="3:10" s="139" customFormat="1" ht="25.5" customHeight="1">
      <c r="C18" s="187">
        <v>300</v>
      </c>
      <c r="D18" s="188">
        <f t="shared" si="0"/>
        <v>1135.5</v>
      </c>
      <c r="E18" s="189">
        <v>4</v>
      </c>
      <c r="F18" s="189">
        <v>100</v>
      </c>
      <c r="G18" s="190">
        <v>2.303330531391969</v>
      </c>
      <c r="H18" s="191">
        <v>4.7753614447731563</v>
      </c>
      <c r="I18" s="192">
        <v>1811</v>
      </c>
      <c r="J18" s="193">
        <v>1811</v>
      </c>
    </row>
    <row r="19" spans="3:10" s="139" customFormat="1" ht="25.5" customHeight="1">
      <c r="C19" s="171">
        <v>700</v>
      </c>
      <c r="D19" s="172">
        <f t="shared" si="0"/>
        <v>2649.5</v>
      </c>
      <c r="E19" s="163">
        <v>6</v>
      </c>
      <c r="F19" s="163">
        <v>150</v>
      </c>
      <c r="G19" s="164">
        <v>2.3682032912177409</v>
      </c>
      <c r="H19" s="180">
        <v>3.0560087316684155</v>
      </c>
      <c r="I19" s="186">
        <v>7430</v>
      </c>
      <c r="J19" s="165">
        <v>7430</v>
      </c>
    </row>
    <row r="20" spans="3:10" s="139" customFormat="1" ht="25.5" customHeight="1">
      <c r="C20" s="187">
        <v>1200</v>
      </c>
      <c r="D20" s="188">
        <f>C20*3.785</f>
        <v>4542</v>
      </c>
      <c r="E20" s="189">
        <v>8</v>
      </c>
      <c r="F20" s="189">
        <v>200</v>
      </c>
      <c r="G20" s="190">
        <v>2.3444942673720561</v>
      </c>
      <c r="H20" s="191">
        <v>2.1491820424230164</v>
      </c>
      <c r="I20" s="194"/>
      <c r="J20" s="195"/>
    </row>
    <row r="21" spans="3:10" s="139" customFormat="1" ht="25.5" customHeight="1">
      <c r="C21" s="171">
        <v>1900</v>
      </c>
      <c r="D21" s="172">
        <f t="shared" si="0"/>
        <v>7191.5</v>
      </c>
      <c r="E21" s="163">
        <v>10</v>
      </c>
      <c r="F21" s="163">
        <v>250</v>
      </c>
      <c r="G21" s="164">
        <v>2.3550531265498438</v>
      </c>
      <c r="H21" s="180">
        <v>1.6476490223070379</v>
      </c>
      <c r="I21" s="162"/>
      <c r="J21" s="166"/>
    </row>
    <row r="22" spans="3:10" s="139" customFormat="1" ht="25.5" customHeight="1">
      <c r="C22" s="187">
        <v>2700</v>
      </c>
      <c r="D22" s="188">
        <f t="shared" si="0"/>
        <v>10219.5</v>
      </c>
      <c r="E22" s="189">
        <v>12</v>
      </c>
      <c r="F22" s="189">
        <v>300</v>
      </c>
      <c r="G22" s="190">
        <v>2.3576708056274933</v>
      </c>
      <c r="H22" s="191">
        <v>1.3377809694415941</v>
      </c>
      <c r="I22" s="194"/>
      <c r="J22" s="195"/>
    </row>
    <row r="23" spans="3:10" s="139" customFormat="1" ht="25.5" customHeight="1">
      <c r="C23" s="171">
        <v>3300</v>
      </c>
      <c r="D23" s="172">
        <f t="shared" si="0"/>
        <v>12490.5</v>
      </c>
      <c r="E23" s="163">
        <v>14</v>
      </c>
      <c r="F23" s="163">
        <v>350</v>
      </c>
      <c r="G23" s="164">
        <v>2.383590746592386</v>
      </c>
      <c r="H23" s="180">
        <v>1.2194017943768358</v>
      </c>
      <c r="I23" s="162"/>
      <c r="J23" s="166"/>
    </row>
    <row r="24" spans="3:10" s="139" customFormat="1" ht="25.5" customHeight="1">
      <c r="C24" s="187">
        <v>4300</v>
      </c>
      <c r="D24" s="188">
        <f t="shared" si="0"/>
        <v>16275.5</v>
      </c>
      <c r="E24" s="189">
        <v>16</v>
      </c>
      <c r="F24" s="189">
        <v>400</v>
      </c>
      <c r="G24" s="190">
        <v>2.3783101438256744</v>
      </c>
      <c r="H24" s="191">
        <v>1.0349785643620291</v>
      </c>
      <c r="I24" s="194"/>
      <c r="J24" s="195"/>
    </row>
    <row r="25" spans="3:10" s="139" customFormat="1" ht="25.5" customHeight="1" thickBot="1">
      <c r="C25" s="173">
        <v>6800</v>
      </c>
      <c r="D25" s="174">
        <f t="shared" si="0"/>
        <v>25738</v>
      </c>
      <c r="E25" s="168">
        <v>20</v>
      </c>
      <c r="F25" s="168">
        <v>500</v>
      </c>
      <c r="G25" s="169">
        <v>2.3907225835968782</v>
      </c>
      <c r="H25" s="183">
        <v>0.79781106396711465</v>
      </c>
      <c r="I25" s="167"/>
      <c r="J25" s="170"/>
    </row>
    <row r="27" spans="3:10">
      <c r="C27" s="70" t="s">
        <v>72</v>
      </c>
      <c r="D27" s="70"/>
    </row>
  </sheetData>
  <mergeCells count="3">
    <mergeCell ref="I8:J8"/>
    <mergeCell ref="E8:F8"/>
    <mergeCell ref="C8:D8"/>
  </mergeCells>
  <phoneticPr fontId="5" type="noConversion"/>
  <pageMargins left="0.7" right="0.7" top="0.75" bottom="0.42" header="0.3" footer="0.3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5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Equation</vt:lpstr>
      <vt:lpstr>Pipe info</vt:lpstr>
      <vt:lpstr>Table</vt:lpstr>
      <vt:lpstr>Hunter</vt:lpstr>
      <vt:lpstr>GUIDELINE</vt:lpstr>
      <vt:lpstr>Friction Chart (LPM)</vt:lpstr>
      <vt:lpstr>Hunter's Curve</vt:lpstr>
      <vt:lpstr>Hunter's Curve (zoom)</vt:lpstr>
      <vt:lpstr>coeff_c</vt:lpstr>
      <vt:lpstr>PIPESIZE</vt:lpstr>
      <vt:lpstr>GUIDELINE!Print_Area</vt:lpstr>
      <vt:lpstr>roughness</vt:lpstr>
      <vt:lpstr>viscosity</vt:lpstr>
    </vt:vector>
  </TitlesOfParts>
  <Company>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DCS</dc:creator>
  <cp:lastModifiedBy>Admin</cp:lastModifiedBy>
  <cp:lastPrinted>2015-06-02T07:58:32Z</cp:lastPrinted>
  <dcterms:created xsi:type="dcterms:W3CDTF">2000-11-26T02:45:15Z</dcterms:created>
  <dcterms:modified xsi:type="dcterms:W3CDTF">2017-09-05T08:47:28Z</dcterms:modified>
</cp:coreProperties>
</file>